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16\Agregados\"/>
    </mc:Choice>
  </mc:AlternateContent>
  <bookViews>
    <workbookView xWindow="840" yWindow="360" windowWidth="13875" windowHeight="7965" tabRatio="887" firstSheet="1" activeTab="1"/>
  </bookViews>
  <sheets>
    <sheet name="Acerno_Cache_XXXXX" sheetId="11" state="veryHidden" r:id="rId1"/>
    <sheet name="Información" sheetId="8" r:id="rId2"/>
    <sheet name="Balance" sheetId="6" r:id="rId3"/>
    <sheet name="Cuenta" sheetId="7" r:id="rId4"/>
    <sheet name="Liquidación del presupuesto" sheetId="10" r:id="rId5"/>
    <sheet name="Memoria" sheetId="9" r:id="rId6"/>
    <sheet name="Entidades agregadas" sheetId="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2">Balance!$A$1:$N$67</definedName>
    <definedName name="_xlnm.Print_Area" localSheetId="3">Cuenta!$A$1:$N$88</definedName>
    <definedName name="_xlnm.Print_Area" localSheetId="6">'Entidades agregadas'!$A$1:$B$37</definedName>
    <definedName name="_xlnm.Print_Area" localSheetId="1">Información!$A$1:$B$56</definedName>
    <definedName name="_xlnm.Print_Area" localSheetId="4">'Liquidación del presupuesto'!$A$1:$M$86</definedName>
    <definedName name="_xlnm.Print_Area" localSheetId="5">Memoria!$A$1:$I$93</definedName>
    <definedName name="_xlnm.Print_Titles" localSheetId="6">'Entidades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F78" i="9" l="1"/>
  <c r="C140" i="9" l="1"/>
  <c r="C139" i="9"/>
  <c r="C138" i="9"/>
  <c r="C137" i="9"/>
  <c r="F136" i="9"/>
  <c r="C136" i="9"/>
  <c r="F135" i="9"/>
  <c r="C135" i="9"/>
  <c r="F134" i="9"/>
  <c r="C134" i="9"/>
  <c r="F133" i="9"/>
  <c r="C133" i="9"/>
  <c r="F132" i="9"/>
  <c r="C132" i="9"/>
  <c r="F131" i="9"/>
  <c r="C131" i="9"/>
  <c r="F130" i="9"/>
  <c r="C130" i="9"/>
  <c r="F129" i="9"/>
  <c r="C129" i="9"/>
  <c r="F128" i="9"/>
  <c r="C128" i="9"/>
  <c r="F127" i="9"/>
  <c r="C127" i="9"/>
  <c r="F126" i="9"/>
  <c r="C126" i="9"/>
  <c r="F125" i="9"/>
  <c r="C125" i="9"/>
  <c r="F124" i="9"/>
  <c r="C124" i="9"/>
  <c r="K119" i="9"/>
  <c r="J119" i="9"/>
  <c r="I119" i="9"/>
  <c r="H119" i="9"/>
  <c r="G119" i="9"/>
  <c r="F119" i="9"/>
  <c r="E119" i="9"/>
  <c r="D119" i="9"/>
  <c r="C119" i="9"/>
  <c r="K118" i="9"/>
  <c r="J118" i="9"/>
  <c r="I118" i="9"/>
  <c r="H118" i="9"/>
  <c r="G118" i="9"/>
  <c r="F118" i="9"/>
  <c r="E118" i="9"/>
  <c r="D118" i="9"/>
  <c r="C118" i="9"/>
  <c r="K117" i="9"/>
  <c r="J117" i="9"/>
  <c r="I117" i="9"/>
  <c r="H117" i="9"/>
  <c r="G117" i="9"/>
  <c r="F117" i="9"/>
  <c r="E117" i="9"/>
  <c r="D117" i="9"/>
  <c r="C117" i="9"/>
  <c r="K116" i="9"/>
  <c r="J116" i="9"/>
  <c r="I116" i="9"/>
  <c r="H116" i="9"/>
  <c r="G116" i="9"/>
  <c r="F116" i="9"/>
  <c r="E116" i="9"/>
  <c r="D116" i="9"/>
  <c r="C116" i="9"/>
  <c r="K115" i="9"/>
  <c r="J115" i="9"/>
  <c r="I115" i="9"/>
  <c r="H115" i="9"/>
  <c r="G115" i="9"/>
  <c r="F115" i="9"/>
  <c r="E115" i="9"/>
  <c r="D115" i="9"/>
  <c r="C115" i="9"/>
  <c r="K114" i="9"/>
  <c r="J114" i="9"/>
  <c r="I114" i="9"/>
  <c r="H114" i="9"/>
  <c r="G114" i="9"/>
  <c r="F114" i="9"/>
  <c r="E114" i="9"/>
  <c r="D114" i="9"/>
  <c r="C114" i="9"/>
  <c r="K113" i="9"/>
  <c r="J113" i="9"/>
  <c r="I113" i="9"/>
  <c r="H113" i="9"/>
  <c r="G113" i="9"/>
  <c r="F113" i="9"/>
  <c r="E113" i="9"/>
  <c r="D113" i="9"/>
  <c r="C113" i="9"/>
  <c r="K112" i="9"/>
  <c r="J112" i="9"/>
  <c r="I112" i="9"/>
  <c r="H112" i="9"/>
  <c r="G112" i="9"/>
  <c r="F112" i="9"/>
  <c r="E112" i="9"/>
  <c r="D112" i="9"/>
  <c r="C112" i="9"/>
  <c r="K111" i="9"/>
  <c r="J111" i="9"/>
  <c r="I111" i="9"/>
  <c r="H111" i="9"/>
  <c r="G111" i="9"/>
  <c r="F111" i="9"/>
  <c r="E111" i="9"/>
  <c r="D111" i="9"/>
  <c r="C111" i="9"/>
  <c r="G104" i="9"/>
  <c r="F104" i="9"/>
  <c r="E104" i="9"/>
  <c r="D104" i="9"/>
  <c r="C104" i="9"/>
  <c r="G103" i="9"/>
  <c r="F103" i="9"/>
  <c r="E103" i="9"/>
  <c r="D103" i="9"/>
  <c r="C103" i="9"/>
  <c r="G102" i="9"/>
  <c r="F102" i="9"/>
  <c r="E102" i="9"/>
  <c r="D102" i="9"/>
  <c r="C102" i="9"/>
  <c r="G101" i="9"/>
  <c r="F101" i="9"/>
  <c r="E101" i="9"/>
  <c r="D101" i="9"/>
  <c r="C101" i="9"/>
  <c r="G100" i="9"/>
  <c r="F100" i="9"/>
  <c r="E100" i="9"/>
  <c r="D100" i="9"/>
  <c r="C100" i="9"/>
  <c r="G99" i="9"/>
  <c r="F99" i="9"/>
  <c r="E99" i="9"/>
  <c r="D99" i="9"/>
  <c r="C99" i="9"/>
  <c r="G98" i="9"/>
  <c r="F98" i="9"/>
  <c r="E98" i="9"/>
  <c r="D98" i="9"/>
  <c r="C98" i="9"/>
  <c r="G97" i="9"/>
  <c r="F97" i="9"/>
  <c r="E97" i="9"/>
  <c r="D97" i="9"/>
  <c r="C97" i="9"/>
  <c r="R79" i="9"/>
  <c r="Q79" i="9"/>
  <c r="P79" i="9"/>
  <c r="O79" i="9"/>
  <c r="N79" i="9"/>
  <c r="M79" i="9"/>
  <c r="L79" i="9"/>
  <c r="R78" i="9"/>
  <c r="Q78" i="9"/>
  <c r="P78" i="9"/>
  <c r="O78" i="9"/>
  <c r="N78" i="9"/>
  <c r="M78" i="9"/>
  <c r="L78" i="9"/>
  <c r="R75" i="9"/>
  <c r="Q75" i="9"/>
  <c r="P75" i="9"/>
  <c r="O75" i="9"/>
  <c r="N75" i="9"/>
  <c r="M75" i="9"/>
  <c r="L75" i="9"/>
  <c r="R74" i="9"/>
  <c r="Q74" i="9"/>
  <c r="P74" i="9"/>
  <c r="O74" i="9"/>
  <c r="N74" i="9"/>
  <c r="M74" i="9"/>
  <c r="L74" i="9"/>
  <c r="R73" i="9"/>
  <c r="Q73" i="9"/>
  <c r="P73" i="9"/>
  <c r="O73" i="9"/>
  <c r="N73" i="9"/>
  <c r="M73" i="9"/>
  <c r="L73" i="9"/>
  <c r="R70" i="9"/>
  <c r="Q70" i="9"/>
  <c r="P70" i="9"/>
  <c r="O70" i="9"/>
  <c r="N70" i="9"/>
  <c r="M70" i="9"/>
  <c r="L70" i="9"/>
  <c r="F165" i="10"/>
  <c r="F164" i="10"/>
  <c r="F163" i="10"/>
  <c r="E159" i="10"/>
  <c r="D159" i="10"/>
  <c r="E158" i="10"/>
  <c r="D158" i="10"/>
  <c r="E156" i="10"/>
  <c r="D156" i="10"/>
  <c r="E155" i="10"/>
  <c r="D155" i="10"/>
  <c r="E154" i="10"/>
  <c r="D154" i="10"/>
  <c r="I115" i="10"/>
  <c r="H115" i="10"/>
  <c r="G115" i="10"/>
  <c r="F115" i="10"/>
  <c r="E115" i="10"/>
  <c r="D115" i="10"/>
  <c r="C115" i="10"/>
  <c r="I114" i="10"/>
  <c r="H114" i="10"/>
  <c r="G114" i="10"/>
  <c r="F114" i="10"/>
  <c r="E114" i="10"/>
  <c r="D114" i="10"/>
  <c r="C114" i="10"/>
  <c r="I113" i="10"/>
  <c r="H113" i="10"/>
  <c r="G113" i="10"/>
  <c r="F113" i="10"/>
  <c r="E113" i="10"/>
  <c r="D113" i="10"/>
  <c r="C113" i="10"/>
  <c r="I112" i="10"/>
  <c r="H112" i="10"/>
  <c r="G112" i="10"/>
  <c r="F112" i="10"/>
  <c r="E112" i="10"/>
  <c r="D112" i="10"/>
  <c r="C112" i="10"/>
  <c r="I111" i="10"/>
  <c r="H111" i="10"/>
  <c r="G111" i="10"/>
  <c r="F111" i="10"/>
  <c r="E111" i="10"/>
  <c r="D111" i="10"/>
  <c r="C111" i="10"/>
  <c r="I110" i="10"/>
  <c r="H110" i="10"/>
  <c r="G110" i="10"/>
  <c r="F110" i="10"/>
  <c r="E110" i="10"/>
  <c r="D110" i="10"/>
  <c r="C110" i="10"/>
  <c r="I109" i="10"/>
  <c r="H109" i="10"/>
  <c r="G109" i="10"/>
  <c r="F109" i="10"/>
  <c r="E109" i="10"/>
  <c r="D109" i="10"/>
  <c r="C109" i="10"/>
  <c r="I108" i="10"/>
  <c r="H108" i="10"/>
  <c r="G108" i="10"/>
  <c r="F108" i="10"/>
  <c r="E108" i="10"/>
  <c r="D108" i="10"/>
  <c r="C108" i="10"/>
  <c r="I107" i="10"/>
  <c r="H107" i="10"/>
  <c r="G107" i="10"/>
  <c r="F107" i="10"/>
  <c r="E107" i="10"/>
  <c r="D107" i="10"/>
  <c r="C107" i="10"/>
  <c r="J100" i="10"/>
  <c r="I100" i="10"/>
  <c r="H100" i="10"/>
  <c r="G100" i="10"/>
  <c r="F100" i="10"/>
  <c r="E100" i="10"/>
  <c r="D100" i="10"/>
  <c r="C100" i="10"/>
  <c r="J99" i="10"/>
  <c r="I99" i="10"/>
  <c r="H99" i="10"/>
  <c r="G99" i="10"/>
  <c r="F99" i="10"/>
  <c r="E99" i="10"/>
  <c r="D99" i="10"/>
  <c r="C99" i="10"/>
  <c r="J98" i="10"/>
  <c r="I98" i="10"/>
  <c r="H98" i="10"/>
  <c r="G98" i="10"/>
  <c r="F98" i="10"/>
  <c r="E98" i="10"/>
  <c r="D98" i="10"/>
  <c r="C98" i="10"/>
  <c r="J97" i="10"/>
  <c r="I97" i="10"/>
  <c r="H97" i="10"/>
  <c r="G97" i="10"/>
  <c r="F97" i="10"/>
  <c r="E97" i="10"/>
  <c r="D97" i="10"/>
  <c r="C97" i="10"/>
  <c r="J96" i="10"/>
  <c r="I96" i="10"/>
  <c r="H96" i="10"/>
  <c r="G96" i="10"/>
  <c r="F96" i="10"/>
  <c r="E96" i="10"/>
  <c r="D96" i="10"/>
  <c r="C96" i="10"/>
  <c r="J95" i="10"/>
  <c r="I95" i="10"/>
  <c r="H95" i="10"/>
  <c r="G95" i="10"/>
  <c r="F95" i="10"/>
  <c r="E95" i="10"/>
  <c r="D95" i="10"/>
  <c r="C95" i="10"/>
  <c r="J94" i="10"/>
  <c r="I94" i="10"/>
  <c r="H94" i="10"/>
  <c r="G94" i="10"/>
  <c r="F94" i="10"/>
  <c r="E94" i="10"/>
  <c r="D94" i="10"/>
  <c r="C94" i="10"/>
  <c r="J93" i="10"/>
  <c r="I93" i="10"/>
  <c r="H93" i="10"/>
  <c r="G93" i="10"/>
  <c r="F93" i="10"/>
  <c r="E93" i="10"/>
  <c r="D93" i="10"/>
  <c r="C93" i="10"/>
  <c r="J92" i="10"/>
  <c r="I92" i="10"/>
  <c r="H92" i="10"/>
  <c r="G92" i="10"/>
  <c r="F92" i="10"/>
  <c r="E92" i="10"/>
  <c r="D92" i="10"/>
  <c r="C92" i="10"/>
  <c r="I76" i="7"/>
  <c r="H76" i="7"/>
  <c r="G76" i="7"/>
  <c r="F76" i="7"/>
  <c r="E76" i="7"/>
  <c r="D76" i="7"/>
  <c r="C76" i="7"/>
  <c r="I75" i="7"/>
  <c r="H75" i="7"/>
  <c r="G75" i="7"/>
  <c r="F75" i="7"/>
  <c r="E75" i="7"/>
  <c r="D75" i="7"/>
  <c r="C75" i="7"/>
  <c r="I74" i="7"/>
  <c r="H74" i="7"/>
  <c r="G74" i="7"/>
  <c r="F74" i="7"/>
  <c r="E74" i="7"/>
  <c r="D74" i="7"/>
  <c r="C74" i="7"/>
  <c r="I73" i="7"/>
  <c r="H73" i="7"/>
  <c r="G73" i="7"/>
  <c r="F73" i="7"/>
  <c r="E73" i="7"/>
  <c r="D73" i="7"/>
  <c r="C73" i="7"/>
  <c r="I72" i="7"/>
  <c r="H72" i="7"/>
  <c r="G72" i="7"/>
  <c r="F72" i="7"/>
  <c r="E72" i="7"/>
  <c r="D72" i="7"/>
  <c r="C72" i="7"/>
  <c r="I70" i="7"/>
  <c r="H70" i="7"/>
  <c r="G70" i="7"/>
  <c r="F70" i="7"/>
  <c r="E70" i="7"/>
  <c r="D70" i="7"/>
  <c r="C70" i="7"/>
  <c r="I69" i="7"/>
  <c r="H69" i="7"/>
  <c r="G69" i="7"/>
  <c r="F69" i="7"/>
  <c r="E69" i="7"/>
  <c r="D69" i="7"/>
  <c r="C69" i="7"/>
  <c r="I68" i="7"/>
  <c r="H68" i="7"/>
  <c r="G68" i="7"/>
  <c r="F68" i="7"/>
  <c r="E68" i="7"/>
  <c r="D68" i="7"/>
  <c r="C68" i="7"/>
  <c r="I67" i="7"/>
  <c r="H67" i="7"/>
  <c r="G67" i="7"/>
  <c r="F67" i="7"/>
  <c r="E67" i="7"/>
  <c r="D67" i="7"/>
  <c r="C67" i="7"/>
  <c r="I66" i="7"/>
  <c r="H66" i="7"/>
  <c r="G66" i="7"/>
  <c r="F66" i="7"/>
  <c r="E66" i="7"/>
  <c r="D66" i="7"/>
  <c r="C66" i="7"/>
  <c r="I65" i="7"/>
  <c r="H65" i="7"/>
  <c r="G65" i="7"/>
  <c r="F65" i="7"/>
  <c r="E65" i="7"/>
  <c r="D65" i="7"/>
  <c r="C65" i="7"/>
  <c r="I64" i="7"/>
  <c r="H64" i="7"/>
  <c r="G64" i="7"/>
  <c r="F64" i="7"/>
  <c r="E64" i="7"/>
  <c r="D64" i="7"/>
  <c r="C64" i="7"/>
  <c r="I63" i="7"/>
  <c r="H63" i="7"/>
  <c r="G63" i="7"/>
  <c r="F63" i="7"/>
  <c r="E63" i="7"/>
  <c r="D63" i="7"/>
  <c r="C63" i="7"/>
  <c r="I62" i="7"/>
  <c r="H62" i="7"/>
  <c r="G62" i="7"/>
  <c r="F62" i="7"/>
  <c r="E62" i="7"/>
  <c r="D62" i="7"/>
  <c r="C62" i="7"/>
  <c r="I61" i="7"/>
  <c r="H61" i="7"/>
  <c r="G61" i="7"/>
  <c r="F61" i="7"/>
  <c r="E61" i="7"/>
  <c r="D61" i="7"/>
  <c r="C61" i="7"/>
  <c r="I58" i="7"/>
  <c r="H58" i="7"/>
  <c r="G58" i="7"/>
  <c r="F58" i="7"/>
  <c r="E58" i="7"/>
  <c r="D58" i="7"/>
  <c r="C58" i="7"/>
  <c r="I57" i="7"/>
  <c r="H57" i="7"/>
  <c r="G57" i="7"/>
  <c r="F57" i="7"/>
  <c r="E57" i="7"/>
  <c r="D57" i="7"/>
  <c r="C57" i="7"/>
  <c r="I56" i="7"/>
  <c r="H56" i="7"/>
  <c r="G56" i="7"/>
  <c r="F56" i="7"/>
  <c r="E56" i="7"/>
  <c r="D56" i="7"/>
  <c r="C56" i="7"/>
  <c r="I55" i="7"/>
  <c r="H55" i="7"/>
  <c r="G55" i="7"/>
  <c r="F55" i="7"/>
  <c r="E55" i="7"/>
  <c r="D55" i="7"/>
  <c r="C55" i="7"/>
  <c r="I54" i="7"/>
  <c r="H54" i="7"/>
  <c r="G54" i="7"/>
  <c r="F54" i="7"/>
  <c r="E54" i="7"/>
  <c r="D54" i="7"/>
  <c r="C54" i="7"/>
  <c r="I53" i="7"/>
  <c r="H53" i="7"/>
  <c r="G53" i="7"/>
  <c r="F53" i="7"/>
  <c r="E53" i="7"/>
  <c r="D53" i="7"/>
  <c r="C53" i="7"/>
  <c r="I51" i="7"/>
  <c r="H51" i="7"/>
  <c r="G51" i="7"/>
  <c r="F51" i="7"/>
  <c r="E51" i="7"/>
  <c r="D51" i="7"/>
  <c r="C51" i="7"/>
  <c r="I50" i="7"/>
  <c r="H50" i="7"/>
  <c r="G50" i="7"/>
  <c r="F50" i="7"/>
  <c r="E50" i="7"/>
  <c r="D50" i="7"/>
  <c r="C50" i="7"/>
  <c r="I49" i="7"/>
  <c r="H49" i="7"/>
  <c r="G49" i="7"/>
  <c r="F49" i="7"/>
  <c r="E49" i="7"/>
  <c r="D49" i="7"/>
  <c r="C49" i="7"/>
  <c r="I48" i="7"/>
  <c r="H48" i="7"/>
  <c r="G48" i="7"/>
  <c r="F48" i="7"/>
  <c r="E48" i="7"/>
  <c r="D48" i="7"/>
  <c r="C48" i="7"/>
  <c r="I46" i="7"/>
  <c r="H46" i="7"/>
  <c r="G46" i="7"/>
  <c r="F46" i="7"/>
  <c r="E46" i="7"/>
  <c r="D46" i="7"/>
  <c r="C46" i="7"/>
  <c r="I45" i="7"/>
  <c r="H45" i="7"/>
  <c r="G45" i="7"/>
  <c r="F45" i="7"/>
  <c r="E45" i="7"/>
  <c r="D45" i="7"/>
  <c r="C45" i="7"/>
  <c r="I44" i="7"/>
  <c r="H44" i="7"/>
  <c r="G44" i="7"/>
  <c r="F44" i="7"/>
  <c r="E44" i="7"/>
  <c r="D44" i="7"/>
  <c r="C44" i="7"/>
  <c r="I43" i="7"/>
  <c r="H43" i="7"/>
  <c r="G43" i="7"/>
  <c r="F43" i="7"/>
  <c r="E43" i="7"/>
  <c r="D43" i="7"/>
  <c r="C43" i="7"/>
  <c r="I41" i="7"/>
  <c r="H41" i="7"/>
  <c r="G41" i="7"/>
  <c r="F41" i="7"/>
  <c r="E41" i="7"/>
  <c r="D41" i="7"/>
  <c r="C41" i="7"/>
  <c r="I40" i="7"/>
  <c r="H40" i="7"/>
  <c r="G40" i="7"/>
  <c r="F40" i="7"/>
  <c r="E40" i="7"/>
  <c r="D40" i="7"/>
  <c r="C40" i="7"/>
  <c r="I39" i="7"/>
  <c r="H39" i="7"/>
  <c r="G39" i="7"/>
  <c r="F39" i="7"/>
  <c r="E39" i="7"/>
  <c r="D39" i="7"/>
  <c r="C39" i="7"/>
  <c r="I38" i="7"/>
  <c r="H38" i="7"/>
  <c r="G38" i="7"/>
  <c r="F38" i="7"/>
  <c r="E38" i="7"/>
  <c r="D38" i="7"/>
  <c r="C38" i="7"/>
  <c r="I37" i="7"/>
  <c r="H37" i="7"/>
  <c r="G37" i="7"/>
  <c r="F37" i="7"/>
  <c r="E37" i="7"/>
  <c r="D37" i="7"/>
  <c r="C37" i="7"/>
  <c r="I35" i="7"/>
  <c r="H35" i="7"/>
  <c r="G35" i="7"/>
  <c r="F35" i="7"/>
  <c r="E35" i="7"/>
  <c r="D35" i="7"/>
  <c r="C35" i="7"/>
  <c r="I34" i="7"/>
  <c r="H34" i="7"/>
  <c r="G34" i="7"/>
  <c r="F34" i="7"/>
  <c r="E34" i="7"/>
  <c r="D34" i="7"/>
  <c r="C34" i="7"/>
  <c r="I33" i="7"/>
  <c r="H33" i="7"/>
  <c r="G33" i="7"/>
  <c r="F33" i="7"/>
  <c r="E33" i="7"/>
  <c r="D33" i="7"/>
  <c r="C33" i="7"/>
  <c r="I32" i="7"/>
  <c r="H32" i="7"/>
  <c r="G32" i="7"/>
  <c r="F32" i="7"/>
  <c r="E32" i="7"/>
  <c r="D32" i="7"/>
  <c r="C32" i="7"/>
  <c r="I31" i="7"/>
  <c r="H31" i="7"/>
  <c r="G31" i="7"/>
  <c r="F31" i="7"/>
  <c r="E31" i="7"/>
  <c r="D31" i="7"/>
  <c r="C31" i="7"/>
  <c r="I28" i="7"/>
  <c r="H28" i="7"/>
  <c r="G28" i="7"/>
  <c r="F28" i="7"/>
  <c r="E28" i="7"/>
  <c r="D28" i="7"/>
  <c r="C28" i="7"/>
  <c r="I27" i="7"/>
  <c r="H27" i="7"/>
  <c r="G27" i="7"/>
  <c r="F27" i="7"/>
  <c r="E27" i="7"/>
  <c r="D27" i="7"/>
  <c r="C27" i="7"/>
  <c r="I26" i="7"/>
  <c r="H26" i="7"/>
  <c r="G26" i="7"/>
  <c r="F26" i="7"/>
  <c r="E26" i="7"/>
  <c r="D26" i="7"/>
  <c r="C26" i="7"/>
  <c r="I25" i="7"/>
  <c r="H25" i="7"/>
  <c r="G25" i="7"/>
  <c r="F25" i="7"/>
  <c r="E25" i="7"/>
  <c r="D25" i="7"/>
  <c r="C25" i="7"/>
  <c r="I24" i="7"/>
  <c r="H24" i="7"/>
  <c r="G24" i="7"/>
  <c r="F24" i="7"/>
  <c r="E24" i="7"/>
  <c r="D24" i="7"/>
  <c r="C24" i="7"/>
  <c r="I23" i="7"/>
  <c r="H23" i="7"/>
  <c r="G23" i="7"/>
  <c r="F23" i="7"/>
  <c r="E23" i="7"/>
  <c r="D23" i="7"/>
  <c r="C23" i="7"/>
  <c r="I22" i="7"/>
  <c r="H22" i="7"/>
  <c r="G22" i="7"/>
  <c r="F22" i="7"/>
  <c r="E22" i="7"/>
  <c r="D22" i="7"/>
  <c r="C22" i="7"/>
  <c r="I21" i="7"/>
  <c r="H21" i="7"/>
  <c r="G21" i="7"/>
  <c r="F21" i="7"/>
  <c r="E21" i="7"/>
  <c r="D21" i="7"/>
  <c r="C21" i="7"/>
  <c r="I20" i="7"/>
  <c r="H20" i="7"/>
  <c r="G20" i="7"/>
  <c r="F20" i="7"/>
  <c r="E20" i="7"/>
  <c r="D20" i="7"/>
  <c r="C20" i="7"/>
  <c r="I19" i="7"/>
  <c r="H19" i="7"/>
  <c r="G19" i="7"/>
  <c r="F19" i="7"/>
  <c r="E19" i="7"/>
  <c r="D19" i="7"/>
  <c r="C19" i="7"/>
  <c r="I18" i="7"/>
  <c r="H18" i="7"/>
  <c r="G18" i="7"/>
  <c r="F18" i="7"/>
  <c r="E18" i="7"/>
  <c r="D18" i="7"/>
  <c r="C18" i="7"/>
  <c r="I17" i="7"/>
  <c r="H17" i="7"/>
  <c r="G17" i="7"/>
  <c r="F17" i="7"/>
  <c r="E17" i="7"/>
  <c r="D17" i="7"/>
  <c r="C17" i="7"/>
  <c r="I16" i="7"/>
  <c r="H16" i="7"/>
  <c r="G16" i="7"/>
  <c r="F16" i="7"/>
  <c r="E16" i="7"/>
  <c r="D16" i="7"/>
  <c r="C16" i="7"/>
  <c r="I15" i="7"/>
  <c r="H15" i="7"/>
  <c r="G15" i="7"/>
  <c r="F15" i="7"/>
  <c r="E15" i="7"/>
  <c r="D15" i="7"/>
  <c r="C15" i="7"/>
  <c r="I14" i="7"/>
  <c r="H14" i="7"/>
  <c r="G14" i="7"/>
  <c r="F14" i="7"/>
  <c r="E14" i="7"/>
  <c r="D14" i="7"/>
  <c r="C14" i="7"/>
  <c r="U63" i="6"/>
  <c r="T63" i="6"/>
  <c r="S63" i="6"/>
  <c r="R63" i="6"/>
  <c r="Q63" i="6"/>
  <c r="P63" i="6"/>
  <c r="O63" i="6"/>
  <c r="J63" i="6"/>
  <c r="I63" i="6"/>
  <c r="H63" i="6"/>
  <c r="G63" i="6"/>
  <c r="F63" i="6"/>
  <c r="E63" i="6"/>
  <c r="D63" i="6"/>
  <c r="J62" i="6"/>
  <c r="I62" i="6"/>
  <c r="H62" i="6"/>
  <c r="G62" i="6"/>
  <c r="F62" i="6"/>
  <c r="E62" i="6"/>
  <c r="D62" i="6"/>
  <c r="J61" i="6"/>
  <c r="I61" i="6"/>
  <c r="H61" i="6"/>
  <c r="G61" i="6"/>
  <c r="F61" i="6"/>
  <c r="E61" i="6"/>
  <c r="D61" i="6"/>
  <c r="J60" i="6"/>
  <c r="I60" i="6"/>
  <c r="H60" i="6"/>
  <c r="G60" i="6"/>
  <c r="F60" i="6"/>
  <c r="E60" i="6"/>
  <c r="D60" i="6"/>
  <c r="U59" i="6"/>
  <c r="T59" i="6"/>
  <c r="S59" i="6"/>
  <c r="R59" i="6"/>
  <c r="Q59" i="6"/>
  <c r="P59" i="6"/>
  <c r="O59" i="6"/>
  <c r="J59" i="6"/>
  <c r="I59" i="6"/>
  <c r="H59" i="6"/>
  <c r="G59" i="6"/>
  <c r="F59" i="6"/>
  <c r="E59" i="6"/>
  <c r="D59" i="6"/>
  <c r="U58" i="6"/>
  <c r="T58" i="6"/>
  <c r="S58" i="6"/>
  <c r="R58" i="6"/>
  <c r="Q58" i="6"/>
  <c r="P58" i="6"/>
  <c r="O58" i="6"/>
  <c r="J58" i="6"/>
  <c r="I58" i="6"/>
  <c r="H58" i="6"/>
  <c r="G58" i="6"/>
  <c r="F58" i="6"/>
  <c r="E58" i="6"/>
  <c r="D58" i="6"/>
  <c r="U57" i="6"/>
  <c r="T57" i="6"/>
  <c r="S57" i="6"/>
  <c r="R57" i="6"/>
  <c r="Q57" i="6"/>
  <c r="P57" i="6"/>
  <c r="O57" i="6"/>
  <c r="J57" i="6"/>
  <c r="I57" i="6"/>
  <c r="H57" i="6"/>
  <c r="G57" i="6"/>
  <c r="F57" i="6"/>
  <c r="E57" i="6"/>
  <c r="D57" i="6"/>
  <c r="U56" i="6"/>
  <c r="T56" i="6"/>
  <c r="S56" i="6"/>
  <c r="R56" i="6"/>
  <c r="Q56" i="6"/>
  <c r="P56" i="6"/>
  <c r="O56" i="6"/>
  <c r="J56" i="6"/>
  <c r="I56" i="6"/>
  <c r="H56" i="6"/>
  <c r="G56" i="6"/>
  <c r="F56" i="6"/>
  <c r="E56" i="6"/>
  <c r="D56" i="6"/>
  <c r="U55" i="6"/>
  <c r="T55" i="6"/>
  <c r="S55" i="6"/>
  <c r="R55" i="6"/>
  <c r="Q55" i="6"/>
  <c r="P55" i="6"/>
  <c r="O55" i="6"/>
  <c r="J55" i="6"/>
  <c r="I55" i="6"/>
  <c r="H55" i="6"/>
  <c r="G55" i="6"/>
  <c r="F55" i="6"/>
  <c r="E55" i="6"/>
  <c r="D55" i="6"/>
  <c r="U54" i="6"/>
  <c r="T54" i="6"/>
  <c r="S54" i="6"/>
  <c r="R54" i="6"/>
  <c r="Q54" i="6"/>
  <c r="P54" i="6"/>
  <c r="O54" i="6"/>
  <c r="J54" i="6"/>
  <c r="I54" i="6"/>
  <c r="H54" i="6"/>
  <c r="G54" i="6"/>
  <c r="F54" i="6"/>
  <c r="E54" i="6"/>
  <c r="D54" i="6"/>
  <c r="U53" i="6"/>
  <c r="T53" i="6"/>
  <c r="S53" i="6"/>
  <c r="R53" i="6"/>
  <c r="Q53" i="6"/>
  <c r="P53" i="6"/>
  <c r="O53" i="6"/>
  <c r="J53" i="6"/>
  <c r="I53" i="6"/>
  <c r="H53" i="6"/>
  <c r="G53" i="6"/>
  <c r="F53" i="6"/>
  <c r="E53" i="6"/>
  <c r="D53" i="6"/>
  <c r="U52" i="6"/>
  <c r="T52" i="6"/>
  <c r="S52" i="6"/>
  <c r="R52" i="6"/>
  <c r="Q52" i="6"/>
  <c r="P52" i="6"/>
  <c r="O52" i="6"/>
  <c r="J52" i="6"/>
  <c r="I52" i="6"/>
  <c r="H52" i="6"/>
  <c r="G52" i="6"/>
  <c r="F52" i="6"/>
  <c r="E52" i="6"/>
  <c r="D52" i="6"/>
  <c r="U51" i="6"/>
  <c r="T51" i="6"/>
  <c r="S51" i="6"/>
  <c r="R51" i="6"/>
  <c r="Q51" i="6"/>
  <c r="P51" i="6"/>
  <c r="O51" i="6"/>
  <c r="J51" i="6"/>
  <c r="I51" i="6"/>
  <c r="H51" i="6"/>
  <c r="G51" i="6"/>
  <c r="F51" i="6"/>
  <c r="E51" i="6"/>
  <c r="D51" i="6"/>
  <c r="U50" i="6"/>
  <c r="T50" i="6"/>
  <c r="S50" i="6"/>
  <c r="R50" i="6"/>
  <c r="Q50" i="6"/>
  <c r="P50" i="6"/>
  <c r="O50" i="6"/>
  <c r="J50" i="6"/>
  <c r="I50" i="6"/>
  <c r="H50" i="6"/>
  <c r="G50" i="6"/>
  <c r="F50" i="6"/>
  <c r="E50" i="6"/>
  <c r="D50" i="6"/>
  <c r="U49" i="6"/>
  <c r="T49" i="6"/>
  <c r="S49" i="6"/>
  <c r="R49" i="6"/>
  <c r="Q49" i="6"/>
  <c r="P49" i="6"/>
  <c r="O49" i="6"/>
  <c r="J49" i="6"/>
  <c r="I49" i="6"/>
  <c r="H49" i="6"/>
  <c r="G49" i="6"/>
  <c r="F49" i="6"/>
  <c r="E49" i="6"/>
  <c r="D49" i="6"/>
  <c r="U48" i="6"/>
  <c r="T48" i="6"/>
  <c r="S48" i="6"/>
  <c r="R48" i="6"/>
  <c r="Q48" i="6"/>
  <c r="P48" i="6"/>
  <c r="O48" i="6"/>
  <c r="J48" i="6"/>
  <c r="I48" i="6"/>
  <c r="H48" i="6"/>
  <c r="G48" i="6"/>
  <c r="F48" i="6"/>
  <c r="E48" i="6"/>
  <c r="D48" i="6"/>
  <c r="U47" i="6"/>
  <c r="T47" i="6"/>
  <c r="S47" i="6"/>
  <c r="R47" i="6"/>
  <c r="Q47" i="6"/>
  <c r="P47" i="6"/>
  <c r="O47" i="6"/>
  <c r="J47" i="6"/>
  <c r="I47" i="6"/>
  <c r="H47" i="6"/>
  <c r="G47" i="6"/>
  <c r="F47" i="6"/>
  <c r="E47" i="6"/>
  <c r="D47" i="6"/>
  <c r="U46" i="6"/>
  <c r="T46" i="6"/>
  <c r="S46" i="6"/>
  <c r="R46" i="6"/>
  <c r="Q46" i="6"/>
  <c r="P46" i="6"/>
  <c r="O46" i="6"/>
  <c r="J46" i="6"/>
  <c r="I46" i="6"/>
  <c r="H46" i="6"/>
  <c r="G46" i="6"/>
  <c r="F46" i="6"/>
  <c r="E46" i="6"/>
  <c r="D46" i="6"/>
  <c r="U45" i="6"/>
  <c r="T45" i="6"/>
  <c r="S45" i="6"/>
  <c r="R45" i="6"/>
  <c r="Q45" i="6"/>
  <c r="P45" i="6"/>
  <c r="O45" i="6"/>
  <c r="J45" i="6"/>
  <c r="I45" i="6"/>
  <c r="H45" i="6"/>
  <c r="G45" i="6"/>
  <c r="F45" i="6"/>
  <c r="E45" i="6"/>
  <c r="D45" i="6"/>
  <c r="U44" i="6"/>
  <c r="T44" i="6"/>
  <c r="S44" i="6"/>
  <c r="R44" i="6"/>
  <c r="Q44" i="6"/>
  <c r="P44" i="6"/>
  <c r="O44" i="6"/>
  <c r="J44" i="6"/>
  <c r="I44" i="6"/>
  <c r="H44" i="6"/>
  <c r="G44" i="6"/>
  <c r="F44" i="6"/>
  <c r="E44" i="6"/>
  <c r="D44" i="6"/>
  <c r="U43" i="6"/>
  <c r="T43" i="6"/>
  <c r="S43" i="6"/>
  <c r="R43" i="6"/>
  <c r="Q43" i="6"/>
  <c r="P43" i="6"/>
  <c r="O43" i="6"/>
  <c r="J43" i="6"/>
  <c r="I43" i="6"/>
  <c r="H43" i="6"/>
  <c r="G43" i="6"/>
  <c r="F43" i="6"/>
  <c r="E43" i="6"/>
  <c r="D43" i="6"/>
  <c r="U42" i="6"/>
  <c r="T42" i="6"/>
  <c r="S42" i="6"/>
  <c r="R42" i="6"/>
  <c r="Q42" i="6"/>
  <c r="P42" i="6"/>
  <c r="O42" i="6"/>
  <c r="J42" i="6"/>
  <c r="I42" i="6"/>
  <c r="H42" i="6"/>
  <c r="G42" i="6"/>
  <c r="F42" i="6"/>
  <c r="E42" i="6"/>
  <c r="D42" i="6"/>
  <c r="U41" i="6"/>
  <c r="T41" i="6"/>
  <c r="S41" i="6"/>
  <c r="R41" i="6"/>
  <c r="Q41" i="6"/>
  <c r="P41" i="6"/>
  <c r="O41" i="6"/>
  <c r="J41" i="6"/>
  <c r="I41" i="6"/>
  <c r="H41" i="6"/>
  <c r="G41" i="6"/>
  <c r="F41" i="6"/>
  <c r="E41" i="6"/>
  <c r="D41" i="6"/>
  <c r="J40" i="6"/>
  <c r="I40" i="6"/>
  <c r="H40" i="6"/>
  <c r="G40" i="6"/>
  <c r="F40" i="6"/>
  <c r="E40" i="6"/>
  <c r="D40" i="6"/>
  <c r="U39" i="6"/>
  <c r="T39" i="6"/>
  <c r="S39" i="6"/>
  <c r="R39" i="6"/>
  <c r="Q39" i="6"/>
  <c r="P39" i="6"/>
  <c r="O39" i="6"/>
  <c r="J39" i="6"/>
  <c r="I39" i="6"/>
  <c r="H39" i="6"/>
  <c r="G39" i="6"/>
  <c r="F39" i="6"/>
  <c r="E39" i="6"/>
  <c r="D39" i="6"/>
  <c r="U38" i="6"/>
  <c r="T38" i="6"/>
  <c r="S38" i="6"/>
  <c r="R38" i="6"/>
  <c r="Q38" i="6"/>
  <c r="P38" i="6"/>
  <c r="O38" i="6"/>
  <c r="J38" i="6"/>
  <c r="I38" i="6"/>
  <c r="H38" i="6"/>
  <c r="G38" i="6"/>
  <c r="F38" i="6"/>
  <c r="E38" i="6"/>
  <c r="D38" i="6"/>
  <c r="U37" i="6"/>
  <c r="T37" i="6"/>
  <c r="S37" i="6"/>
  <c r="R37" i="6"/>
  <c r="Q37" i="6"/>
  <c r="P37" i="6"/>
  <c r="O37" i="6"/>
  <c r="J37" i="6"/>
  <c r="I37" i="6"/>
  <c r="H37" i="6"/>
  <c r="G37" i="6"/>
  <c r="F37" i="6"/>
  <c r="E37" i="6"/>
  <c r="D37" i="6"/>
  <c r="U36" i="6"/>
  <c r="T36" i="6"/>
  <c r="S36" i="6"/>
  <c r="R36" i="6"/>
  <c r="Q36" i="6"/>
  <c r="P36" i="6"/>
  <c r="O36" i="6"/>
  <c r="J36" i="6"/>
  <c r="I36" i="6"/>
  <c r="H36" i="6"/>
  <c r="G36" i="6"/>
  <c r="F36" i="6"/>
  <c r="E36" i="6"/>
  <c r="D36" i="6"/>
  <c r="U35" i="6"/>
  <c r="T35" i="6"/>
  <c r="S35" i="6"/>
  <c r="R35" i="6"/>
  <c r="Q35" i="6"/>
  <c r="P35" i="6"/>
  <c r="O35" i="6"/>
  <c r="J35" i="6"/>
  <c r="I35" i="6"/>
  <c r="H35" i="6"/>
  <c r="G35" i="6"/>
  <c r="F35" i="6"/>
  <c r="E35" i="6"/>
  <c r="D35" i="6"/>
  <c r="U34" i="6"/>
  <c r="T34" i="6"/>
  <c r="S34" i="6"/>
  <c r="R34" i="6"/>
  <c r="Q34" i="6"/>
  <c r="P34" i="6"/>
  <c r="O34" i="6"/>
  <c r="J34" i="6"/>
  <c r="I34" i="6"/>
  <c r="H34" i="6"/>
  <c r="G34" i="6"/>
  <c r="F34" i="6"/>
  <c r="E34" i="6"/>
  <c r="D34" i="6"/>
  <c r="U33" i="6"/>
  <c r="T33" i="6"/>
  <c r="S33" i="6"/>
  <c r="R33" i="6"/>
  <c r="Q33" i="6"/>
  <c r="P33" i="6"/>
  <c r="O33" i="6"/>
  <c r="J33" i="6"/>
  <c r="I33" i="6"/>
  <c r="H33" i="6"/>
  <c r="G33" i="6"/>
  <c r="F33" i="6"/>
  <c r="E33" i="6"/>
  <c r="D33" i="6"/>
  <c r="U32" i="6"/>
  <c r="T32" i="6"/>
  <c r="S32" i="6"/>
  <c r="R32" i="6"/>
  <c r="Q32" i="6"/>
  <c r="P32" i="6"/>
  <c r="O32" i="6"/>
  <c r="J32" i="6"/>
  <c r="I32" i="6"/>
  <c r="H32" i="6"/>
  <c r="G32" i="6"/>
  <c r="F32" i="6"/>
  <c r="E32" i="6"/>
  <c r="D32" i="6"/>
  <c r="U31" i="6"/>
  <c r="T31" i="6"/>
  <c r="S31" i="6"/>
  <c r="R31" i="6"/>
  <c r="Q31" i="6"/>
  <c r="P31" i="6"/>
  <c r="O31" i="6"/>
  <c r="J31" i="6"/>
  <c r="I31" i="6"/>
  <c r="H31" i="6"/>
  <c r="G31" i="6"/>
  <c r="F31" i="6"/>
  <c r="E31" i="6"/>
  <c r="D31" i="6"/>
  <c r="U30" i="6"/>
  <c r="T30" i="6"/>
  <c r="S30" i="6"/>
  <c r="R30" i="6"/>
  <c r="Q30" i="6"/>
  <c r="P30" i="6"/>
  <c r="O30" i="6"/>
  <c r="J30" i="6"/>
  <c r="I30" i="6"/>
  <c r="H30" i="6"/>
  <c r="G30" i="6"/>
  <c r="F30" i="6"/>
  <c r="E30" i="6"/>
  <c r="D30" i="6"/>
  <c r="U29" i="6"/>
  <c r="T29" i="6"/>
  <c r="S29" i="6"/>
  <c r="R29" i="6"/>
  <c r="Q29" i="6"/>
  <c r="P29" i="6"/>
  <c r="O29" i="6"/>
  <c r="J29" i="6"/>
  <c r="I29" i="6"/>
  <c r="H29" i="6"/>
  <c r="G29" i="6"/>
  <c r="F29" i="6"/>
  <c r="E29" i="6"/>
  <c r="D29" i="6"/>
  <c r="U28" i="6"/>
  <c r="T28" i="6"/>
  <c r="S28" i="6"/>
  <c r="R28" i="6"/>
  <c r="Q28" i="6"/>
  <c r="P28" i="6"/>
  <c r="O28" i="6"/>
  <c r="J28" i="6"/>
  <c r="I28" i="6"/>
  <c r="H28" i="6"/>
  <c r="G28" i="6"/>
  <c r="F28" i="6"/>
  <c r="E28" i="6"/>
  <c r="D28" i="6"/>
  <c r="U27" i="6"/>
  <c r="T27" i="6"/>
  <c r="S27" i="6"/>
  <c r="R27" i="6"/>
  <c r="Q27" i="6"/>
  <c r="P27" i="6"/>
  <c r="O27" i="6"/>
  <c r="J27" i="6"/>
  <c r="I27" i="6"/>
  <c r="H27" i="6"/>
  <c r="G27" i="6"/>
  <c r="F27" i="6"/>
  <c r="E27" i="6"/>
  <c r="D27" i="6"/>
  <c r="U26" i="6"/>
  <c r="T26" i="6"/>
  <c r="S26" i="6"/>
  <c r="R26" i="6"/>
  <c r="Q26" i="6"/>
  <c r="P26" i="6"/>
  <c r="O26" i="6"/>
  <c r="J26" i="6"/>
  <c r="I26" i="6"/>
  <c r="H26" i="6"/>
  <c r="G26" i="6"/>
  <c r="F26" i="6"/>
  <c r="E26" i="6"/>
  <c r="D26" i="6"/>
  <c r="U25" i="6"/>
  <c r="T25" i="6"/>
  <c r="S25" i="6"/>
  <c r="R25" i="6"/>
  <c r="Q25" i="6"/>
  <c r="P25" i="6"/>
  <c r="O25" i="6"/>
  <c r="J25" i="6"/>
  <c r="I25" i="6"/>
  <c r="H25" i="6"/>
  <c r="G25" i="6"/>
  <c r="F25" i="6"/>
  <c r="E25" i="6"/>
  <c r="D25" i="6"/>
  <c r="U24" i="6"/>
  <c r="T24" i="6"/>
  <c r="S24" i="6"/>
  <c r="R24" i="6"/>
  <c r="Q24" i="6"/>
  <c r="P24" i="6"/>
  <c r="O24" i="6"/>
  <c r="J24" i="6"/>
  <c r="I24" i="6"/>
  <c r="H24" i="6"/>
  <c r="G24" i="6"/>
  <c r="F24" i="6"/>
  <c r="E24" i="6"/>
  <c r="D24" i="6"/>
  <c r="U23" i="6"/>
  <c r="T23" i="6"/>
  <c r="S23" i="6"/>
  <c r="R23" i="6"/>
  <c r="Q23" i="6"/>
  <c r="P23" i="6"/>
  <c r="O23" i="6"/>
  <c r="J23" i="6"/>
  <c r="I23" i="6"/>
  <c r="H23" i="6"/>
  <c r="G23" i="6"/>
  <c r="F23" i="6"/>
  <c r="E23" i="6"/>
  <c r="D23" i="6"/>
  <c r="U22" i="6"/>
  <c r="T22" i="6"/>
  <c r="S22" i="6"/>
  <c r="R22" i="6"/>
  <c r="Q22" i="6"/>
  <c r="P22" i="6"/>
  <c r="O22" i="6"/>
  <c r="J22" i="6"/>
  <c r="I22" i="6"/>
  <c r="H22" i="6"/>
  <c r="G22" i="6"/>
  <c r="F22" i="6"/>
  <c r="E22" i="6"/>
  <c r="D22" i="6"/>
  <c r="U21" i="6"/>
  <c r="T21" i="6"/>
  <c r="S21" i="6"/>
  <c r="R21" i="6"/>
  <c r="Q21" i="6"/>
  <c r="P21" i="6"/>
  <c r="O21" i="6"/>
  <c r="J21" i="6"/>
  <c r="I21" i="6"/>
  <c r="H21" i="6"/>
  <c r="G21" i="6"/>
  <c r="F21" i="6"/>
  <c r="E21" i="6"/>
  <c r="D21" i="6"/>
  <c r="U20" i="6"/>
  <c r="T20" i="6"/>
  <c r="S20" i="6"/>
  <c r="R20" i="6"/>
  <c r="Q20" i="6"/>
  <c r="P20" i="6"/>
  <c r="O20" i="6"/>
  <c r="J20" i="6"/>
  <c r="I20" i="6"/>
  <c r="H20" i="6"/>
  <c r="G20" i="6"/>
  <c r="F20" i="6"/>
  <c r="E20" i="6"/>
  <c r="D20" i="6"/>
  <c r="U19" i="6"/>
  <c r="T19" i="6"/>
  <c r="S19" i="6"/>
  <c r="R19" i="6"/>
  <c r="Q19" i="6"/>
  <c r="P19" i="6"/>
  <c r="O19" i="6"/>
  <c r="J19" i="6"/>
  <c r="I19" i="6"/>
  <c r="H19" i="6"/>
  <c r="G19" i="6"/>
  <c r="F19" i="6"/>
  <c r="E19" i="6"/>
  <c r="D19" i="6"/>
  <c r="U18" i="6"/>
  <c r="T18" i="6"/>
  <c r="S18" i="6"/>
  <c r="R18" i="6"/>
  <c r="Q18" i="6"/>
  <c r="P18" i="6"/>
  <c r="O18" i="6"/>
  <c r="J18" i="6"/>
  <c r="I18" i="6"/>
  <c r="H18" i="6"/>
  <c r="G18" i="6"/>
  <c r="F18" i="6"/>
  <c r="E18" i="6"/>
  <c r="D18" i="6"/>
  <c r="U17" i="6"/>
  <c r="T17" i="6"/>
  <c r="S17" i="6"/>
  <c r="R17" i="6"/>
  <c r="Q17" i="6"/>
  <c r="P17" i="6"/>
  <c r="O17" i="6"/>
  <c r="J17" i="6"/>
  <c r="I17" i="6"/>
  <c r="H17" i="6"/>
  <c r="G17" i="6"/>
  <c r="F17" i="6"/>
  <c r="E17" i="6"/>
  <c r="D17" i="6"/>
  <c r="U16" i="6"/>
  <c r="T16" i="6"/>
  <c r="S16" i="6"/>
  <c r="R16" i="6"/>
  <c r="Q16" i="6"/>
  <c r="P16" i="6"/>
  <c r="O16" i="6"/>
  <c r="J16" i="6"/>
  <c r="I16" i="6"/>
  <c r="H16" i="6"/>
  <c r="G16" i="6"/>
  <c r="F16" i="6"/>
  <c r="E16" i="6"/>
  <c r="D16" i="6"/>
  <c r="U15" i="6"/>
  <c r="T15" i="6"/>
  <c r="S15" i="6"/>
  <c r="R15" i="6"/>
  <c r="Q15" i="6"/>
  <c r="P15" i="6"/>
  <c r="O15" i="6"/>
  <c r="J15" i="6"/>
  <c r="I15" i="6"/>
  <c r="H15" i="6"/>
  <c r="G15" i="6"/>
  <c r="F15" i="6"/>
  <c r="E15" i="6"/>
  <c r="D15" i="6"/>
  <c r="U14" i="6"/>
  <c r="T14" i="6"/>
  <c r="S14" i="6"/>
  <c r="R14" i="6"/>
  <c r="Q14" i="6"/>
  <c r="P14" i="6"/>
  <c r="O14" i="6"/>
  <c r="J14" i="6"/>
  <c r="I14" i="6"/>
  <c r="H14" i="6"/>
  <c r="G14" i="6"/>
  <c r="F14" i="6"/>
  <c r="E14" i="6"/>
  <c r="D14" i="6"/>
  <c r="U13" i="6"/>
  <c r="T13" i="6"/>
  <c r="S13" i="6"/>
  <c r="R13" i="6"/>
  <c r="Q13" i="6"/>
  <c r="P13" i="6"/>
  <c r="O13" i="6"/>
  <c r="J13" i="6"/>
  <c r="I13" i="6"/>
  <c r="H13" i="6"/>
  <c r="G13" i="6"/>
  <c r="F13" i="6"/>
  <c r="E13" i="6"/>
  <c r="D13" i="6"/>
  <c r="A70" i="9" l="1"/>
  <c r="L20" i="10" l="1"/>
  <c r="J20" i="10"/>
  <c r="M20" i="10"/>
  <c r="G20" i="10"/>
  <c r="F20" i="10"/>
  <c r="E20" i="10"/>
  <c r="D20" i="10"/>
  <c r="C20" i="10"/>
  <c r="I20" i="10" l="1"/>
  <c r="K20" i="10"/>
  <c r="F79" i="9" l="1"/>
  <c r="A3" i="5" l="1"/>
  <c r="F131" i="10" l="1"/>
  <c r="F21" i="10"/>
  <c r="F22" i="10"/>
  <c r="F23" i="10"/>
  <c r="F24" i="10"/>
  <c r="F18" i="10" l="1"/>
  <c r="E30" i="7"/>
  <c r="E42" i="7" s="1"/>
  <c r="I30" i="7"/>
  <c r="I42" i="7" s="1"/>
  <c r="F17" i="10"/>
  <c r="E47" i="7"/>
  <c r="E59" i="7" s="1"/>
  <c r="I47" i="7"/>
  <c r="I59" i="7" s="1"/>
  <c r="D77" i="7"/>
  <c r="H77" i="7"/>
  <c r="F16" i="10"/>
  <c r="C77" i="7"/>
  <c r="G77" i="7"/>
  <c r="F30" i="7"/>
  <c r="F42" i="7" s="1"/>
  <c r="C30" i="7"/>
  <c r="C42" i="7" s="1"/>
  <c r="G30" i="7"/>
  <c r="G42" i="7" s="1"/>
  <c r="D30" i="7"/>
  <c r="D42" i="7" s="1"/>
  <c r="H30" i="7"/>
  <c r="H42" i="7" s="1"/>
  <c r="F47" i="7"/>
  <c r="F59" i="7" s="1"/>
  <c r="C47" i="7"/>
  <c r="C59" i="7" s="1"/>
  <c r="G47" i="7"/>
  <c r="G59" i="7" s="1"/>
  <c r="D47" i="7"/>
  <c r="D59" i="7" s="1"/>
  <c r="H47" i="7"/>
  <c r="H59" i="7" s="1"/>
  <c r="E77" i="7"/>
  <c r="I77" i="7"/>
  <c r="F77" i="7"/>
  <c r="H60" i="7" l="1"/>
  <c r="H71" i="7" s="1"/>
  <c r="H78" i="7" s="1"/>
  <c r="H82" i="7" s="1"/>
  <c r="E60" i="7"/>
  <c r="E71" i="7" s="1"/>
  <c r="E78" i="7" s="1"/>
  <c r="E82" i="7" s="1"/>
  <c r="F60" i="7"/>
  <c r="F71" i="7" s="1"/>
  <c r="F78" i="7" s="1"/>
  <c r="F82" i="7" s="1"/>
  <c r="I60" i="7"/>
  <c r="I71" i="7" s="1"/>
  <c r="I78" i="7" s="1"/>
  <c r="I82" i="7" s="1"/>
  <c r="D60" i="7"/>
  <c r="D71" i="7" s="1"/>
  <c r="D78" i="7" s="1"/>
  <c r="D82" i="7" s="1"/>
  <c r="C60" i="7"/>
  <c r="C71" i="7" s="1"/>
  <c r="C78" i="7" s="1"/>
  <c r="C82" i="7" s="1"/>
  <c r="G60" i="7"/>
  <c r="G71" i="7" s="1"/>
  <c r="G78" i="7" s="1"/>
  <c r="G82" i="7" s="1"/>
  <c r="H15" i="9"/>
  <c r="H50" i="9"/>
  <c r="H56" i="9"/>
  <c r="H54" i="9"/>
  <c r="H52" i="9"/>
  <c r="H51" i="9"/>
  <c r="H49" i="9"/>
  <c r="H48" i="9"/>
  <c r="H47" i="9"/>
  <c r="H46" i="9"/>
  <c r="H45" i="9"/>
  <c r="C61" i="9"/>
  <c r="C59" i="9"/>
  <c r="C58" i="9"/>
  <c r="C57" i="9"/>
  <c r="C56" i="9"/>
  <c r="C55" i="9"/>
  <c r="C54" i="9"/>
  <c r="C53" i="9"/>
  <c r="C50" i="9"/>
  <c r="C49" i="9"/>
  <c r="C48" i="9"/>
  <c r="C47" i="9"/>
  <c r="C46" i="9"/>
  <c r="C45" i="9"/>
  <c r="H36" i="9"/>
  <c r="E36" i="9"/>
  <c r="D36" i="9"/>
  <c r="C36" i="9"/>
  <c r="I35" i="9"/>
  <c r="H35" i="9"/>
  <c r="D35" i="9"/>
  <c r="C35" i="9"/>
  <c r="I34" i="9"/>
  <c r="F34" i="9"/>
  <c r="H34" i="9"/>
  <c r="E34" i="9"/>
  <c r="D34" i="9"/>
  <c r="C34" i="9"/>
  <c r="I33" i="9"/>
  <c r="D33" i="9"/>
  <c r="C33" i="9"/>
  <c r="F32" i="9"/>
  <c r="H32" i="9"/>
  <c r="D32" i="9"/>
  <c r="C32" i="9"/>
  <c r="I31" i="9"/>
  <c r="F31" i="9"/>
  <c r="H31" i="9"/>
  <c r="D31" i="9"/>
  <c r="C31" i="9"/>
  <c r="I30" i="9"/>
  <c r="H30" i="9"/>
  <c r="E30" i="9"/>
  <c r="D30" i="9"/>
  <c r="C30" i="9"/>
  <c r="I29" i="9"/>
  <c r="H29" i="9"/>
  <c r="D29" i="9"/>
  <c r="C29" i="9"/>
  <c r="I28" i="9"/>
  <c r="J120" i="9"/>
  <c r="H120" i="9"/>
  <c r="E28" i="9"/>
  <c r="D28" i="9"/>
  <c r="C120" i="9"/>
  <c r="H21" i="9"/>
  <c r="F21" i="9"/>
  <c r="E21" i="9"/>
  <c r="G21" i="9" s="1"/>
  <c r="C21" i="9"/>
  <c r="H20" i="9"/>
  <c r="F20" i="9"/>
  <c r="D20" i="9"/>
  <c r="C20" i="9"/>
  <c r="H19" i="9"/>
  <c r="D19" i="9"/>
  <c r="C19" i="9"/>
  <c r="F18" i="9"/>
  <c r="E18" i="9"/>
  <c r="D18" i="9"/>
  <c r="C18" i="9"/>
  <c r="H17" i="9"/>
  <c r="F17" i="9"/>
  <c r="E17" i="9"/>
  <c r="D17" i="9"/>
  <c r="C17" i="9"/>
  <c r="F16" i="9"/>
  <c r="E16" i="9"/>
  <c r="G16" i="9" s="1"/>
  <c r="D16" i="9"/>
  <c r="F15" i="9"/>
  <c r="E15" i="9"/>
  <c r="D15" i="9"/>
  <c r="F14" i="9"/>
  <c r="D14" i="9"/>
  <c r="F62" i="10"/>
  <c r="F61" i="10"/>
  <c r="G159" i="10"/>
  <c r="D56" i="10"/>
  <c r="E53" i="10"/>
  <c r="D53" i="10"/>
  <c r="E52" i="10"/>
  <c r="E157" i="10"/>
  <c r="D157" i="10"/>
  <c r="M42" i="10"/>
  <c r="L42" i="10"/>
  <c r="J42" i="10"/>
  <c r="G42" i="10"/>
  <c r="D42" i="10"/>
  <c r="C42" i="10"/>
  <c r="L41" i="10"/>
  <c r="J41" i="10"/>
  <c r="G41" i="10"/>
  <c r="E41" i="10"/>
  <c r="D41" i="10"/>
  <c r="C41" i="10"/>
  <c r="M40" i="10"/>
  <c r="L40" i="10"/>
  <c r="J40" i="10"/>
  <c r="G40" i="10"/>
  <c r="E40" i="10"/>
  <c r="D40" i="10"/>
  <c r="C40" i="10"/>
  <c r="M39" i="10"/>
  <c r="L39" i="10"/>
  <c r="G39" i="10"/>
  <c r="E39" i="10"/>
  <c r="D39" i="10"/>
  <c r="M38" i="10"/>
  <c r="L38" i="10"/>
  <c r="J38" i="10"/>
  <c r="G38" i="10"/>
  <c r="D38" i="10"/>
  <c r="C38" i="10"/>
  <c r="M37" i="10"/>
  <c r="L37" i="10"/>
  <c r="J37" i="10"/>
  <c r="G37" i="10"/>
  <c r="E37" i="10"/>
  <c r="C37" i="10"/>
  <c r="L36" i="10"/>
  <c r="J36" i="10"/>
  <c r="G36" i="10"/>
  <c r="D36" i="10"/>
  <c r="M35" i="10"/>
  <c r="L35" i="10"/>
  <c r="G35" i="10"/>
  <c r="E35" i="10"/>
  <c r="D35" i="10"/>
  <c r="J34" i="10"/>
  <c r="G34" i="10"/>
  <c r="E34" i="10"/>
  <c r="C34" i="10"/>
  <c r="L24" i="10"/>
  <c r="J24" i="10"/>
  <c r="M24" i="10"/>
  <c r="G24" i="10"/>
  <c r="E24" i="10"/>
  <c r="D24" i="10"/>
  <c r="C24" i="10"/>
  <c r="L23" i="10"/>
  <c r="J23" i="10"/>
  <c r="G23" i="10"/>
  <c r="E23" i="10"/>
  <c r="D23" i="10"/>
  <c r="C23" i="10"/>
  <c r="L22" i="10"/>
  <c r="J22" i="10"/>
  <c r="M22" i="10"/>
  <c r="G22" i="10"/>
  <c r="E22" i="10"/>
  <c r="D22" i="10"/>
  <c r="C22" i="10"/>
  <c r="L21" i="10"/>
  <c r="J21" i="10"/>
  <c r="M21" i="10"/>
  <c r="G21" i="10"/>
  <c r="E21" i="10"/>
  <c r="D21" i="10"/>
  <c r="C21" i="10"/>
  <c r="L19" i="10"/>
  <c r="J19" i="10"/>
  <c r="M19" i="10"/>
  <c r="E19" i="10"/>
  <c r="D19" i="10"/>
  <c r="C19" i="10"/>
  <c r="J18" i="10"/>
  <c r="G18" i="10"/>
  <c r="E18" i="10"/>
  <c r="D18" i="10"/>
  <c r="C18" i="10"/>
  <c r="L17" i="10"/>
  <c r="J17" i="10"/>
  <c r="M17" i="10"/>
  <c r="G17" i="10"/>
  <c r="E17" i="10"/>
  <c r="D17" i="10"/>
  <c r="L16" i="10"/>
  <c r="J16" i="10"/>
  <c r="G16" i="10"/>
  <c r="F101" i="10"/>
  <c r="E16" i="10"/>
  <c r="D16" i="10"/>
  <c r="C16" i="10"/>
  <c r="B72" i="7"/>
  <c r="B65" i="7"/>
  <c r="B64" i="7"/>
  <c r="B63" i="7"/>
  <c r="B62" i="7"/>
  <c r="B58" i="7"/>
  <c r="B55" i="7"/>
  <c r="B54" i="7"/>
  <c r="B44" i="7"/>
  <c r="B43" i="7"/>
  <c r="B38" i="7"/>
  <c r="B33" i="7"/>
  <c r="B32" i="7"/>
  <c r="B27" i="7"/>
  <c r="B23" i="7"/>
  <c r="B22" i="7"/>
  <c r="B16" i="7"/>
  <c r="B15" i="7"/>
  <c r="B14" i="7"/>
  <c r="M63" i="6"/>
  <c r="N63" i="6" s="1"/>
  <c r="M58" i="6"/>
  <c r="M57" i="6"/>
  <c r="M56" i="6"/>
  <c r="M44" i="6"/>
  <c r="N44" i="6" s="1"/>
  <c r="M41" i="6"/>
  <c r="M38" i="6"/>
  <c r="M34" i="6"/>
  <c r="N30" i="7" s="1"/>
  <c r="M33" i="6"/>
  <c r="N33" i="6" s="1"/>
  <c r="M25" i="6"/>
  <c r="B60" i="6"/>
  <c r="B55" i="6"/>
  <c r="B54" i="6"/>
  <c r="B51" i="6"/>
  <c r="B48" i="6"/>
  <c r="B45" i="6"/>
  <c r="B42" i="6"/>
  <c r="B39" i="6"/>
  <c r="B38" i="6"/>
  <c r="B31" i="6"/>
  <c r="B27" i="6"/>
  <c r="B23" i="6"/>
  <c r="B17" i="6"/>
  <c r="C51" i="9"/>
  <c r="C52" i="9"/>
  <c r="I32" i="9"/>
  <c r="C28" i="9"/>
  <c r="E14" i="9"/>
  <c r="H18" i="9"/>
  <c r="F19" i="9"/>
  <c r="E20" i="9"/>
  <c r="C14" i="9"/>
  <c r="A3" i="9"/>
  <c r="A3" i="10"/>
  <c r="A3" i="7"/>
  <c r="A3" i="6"/>
  <c r="A3" i="8"/>
  <c r="F60" i="10"/>
  <c r="J35" i="10"/>
  <c r="E38" i="10"/>
  <c r="E42" i="10"/>
  <c r="C39" i="10"/>
  <c r="C17" i="10"/>
  <c r="I75" i="9"/>
  <c r="I74" i="9"/>
  <c r="H53" i="9"/>
  <c r="C60" i="9"/>
  <c r="D21" i="9"/>
  <c r="R168" i="9"/>
  <c r="Q168" i="9"/>
  <c r="O168" i="9"/>
  <c r="N168" i="9"/>
  <c r="M168" i="9"/>
  <c r="L168" i="9"/>
  <c r="R167" i="9"/>
  <c r="Q167" i="9"/>
  <c r="O167" i="9"/>
  <c r="N167" i="9"/>
  <c r="M167" i="9"/>
  <c r="L167" i="9"/>
  <c r="R166" i="9"/>
  <c r="Q166" i="9"/>
  <c r="O166" i="9"/>
  <c r="N166" i="9"/>
  <c r="M166" i="9"/>
  <c r="L166" i="9"/>
  <c r="R165" i="9"/>
  <c r="Q165" i="9"/>
  <c r="O165" i="9"/>
  <c r="N165" i="9"/>
  <c r="M165" i="9"/>
  <c r="L165" i="9"/>
  <c r="R164" i="9"/>
  <c r="Q164" i="9"/>
  <c r="O164" i="9"/>
  <c r="N164" i="9"/>
  <c r="M164" i="9"/>
  <c r="L164" i="9"/>
  <c r="R163" i="9"/>
  <c r="Q163" i="9"/>
  <c r="O163" i="9"/>
  <c r="N163" i="9"/>
  <c r="M163" i="9"/>
  <c r="L163" i="9"/>
  <c r="R162" i="9"/>
  <c r="Q162" i="9"/>
  <c r="O162" i="9"/>
  <c r="N162" i="9"/>
  <c r="M162" i="9"/>
  <c r="L162" i="9"/>
  <c r="R161" i="9"/>
  <c r="Q161" i="9"/>
  <c r="O161" i="9"/>
  <c r="N161" i="9"/>
  <c r="M161" i="9"/>
  <c r="L161" i="9"/>
  <c r="R160" i="9"/>
  <c r="Q160" i="9"/>
  <c r="O160" i="9"/>
  <c r="N160" i="9"/>
  <c r="M160" i="9"/>
  <c r="L160" i="9"/>
  <c r="F184" i="10"/>
  <c r="E176" i="10"/>
  <c r="E178" i="10" s="1"/>
  <c r="G174" i="10"/>
  <c r="C131" i="10"/>
  <c r="B36" i="7"/>
  <c r="B29" i="7"/>
  <c r="B1" i="5"/>
  <c r="B1" i="8"/>
  <c r="B14" i="8"/>
  <c r="N1" i="7"/>
  <c r="B12" i="7" s="1"/>
  <c r="I1" i="9"/>
  <c r="J5" i="10"/>
  <c r="M1" i="10"/>
  <c r="G47" i="10" s="1"/>
  <c r="M5" i="10"/>
  <c r="A4" i="5"/>
  <c r="N5" i="7"/>
  <c r="A4" i="9"/>
  <c r="A4" i="8"/>
  <c r="B81" i="7"/>
  <c r="B12" i="6"/>
  <c r="M12" i="6"/>
  <c r="L5" i="6"/>
  <c r="A4" i="6"/>
  <c r="G177" i="10"/>
  <c r="E175" i="10"/>
  <c r="D37" i="10"/>
  <c r="B52" i="7"/>
  <c r="N47" i="7" s="1"/>
  <c r="D169" i="9"/>
  <c r="D154" i="9"/>
  <c r="H169" i="9"/>
  <c r="F154" i="9"/>
  <c r="G172" i="10"/>
  <c r="E169" i="9"/>
  <c r="J169" i="9"/>
  <c r="D146" i="10"/>
  <c r="G131" i="10"/>
  <c r="G169" i="9"/>
  <c r="I131" i="10"/>
  <c r="J131" i="10"/>
  <c r="D175" i="10"/>
  <c r="D178" i="10"/>
  <c r="E146" i="10"/>
  <c r="I146" i="10"/>
  <c r="G173" i="10"/>
  <c r="D131" i="10"/>
  <c r="H146" i="10"/>
  <c r="G146" i="10"/>
  <c r="C146" i="10"/>
  <c r="F146" i="10"/>
  <c r="F169" i="9"/>
  <c r="H131" i="10"/>
  <c r="G154" i="9"/>
  <c r="K169" i="9"/>
  <c r="C15" i="9"/>
  <c r="C35" i="10"/>
  <c r="M18" i="10"/>
  <c r="H33" i="9"/>
  <c r="M23" i="10"/>
  <c r="I169" i="9"/>
  <c r="C169" i="9"/>
  <c r="C154" i="9"/>
  <c r="E154" i="9"/>
  <c r="E131" i="10"/>
  <c r="D52" i="10"/>
  <c r="H55" i="9"/>
  <c r="H14" i="9"/>
  <c r="E101" i="10"/>
  <c r="E29" i="9"/>
  <c r="C16" i="9"/>
  <c r="M41" i="10"/>
  <c r="G155" i="10"/>
  <c r="F116" i="10"/>
  <c r="L34" i="10"/>
  <c r="H58" i="9"/>
  <c r="M16" i="10"/>
  <c r="G19" i="10"/>
  <c r="J39" i="10"/>
  <c r="E56" i="10"/>
  <c r="H28" i="9"/>
  <c r="D34" i="10"/>
  <c r="D55" i="10"/>
  <c r="D57" i="10" s="1"/>
  <c r="M34" i="10"/>
  <c r="H44" i="9" l="1"/>
  <c r="F77" i="9"/>
  <c r="M29" i="10"/>
  <c r="G20" i="9"/>
  <c r="N56" i="6"/>
  <c r="I25" i="9"/>
  <c r="D67" i="9"/>
  <c r="G34" i="9"/>
  <c r="G17" i="9"/>
  <c r="C37" i="9"/>
  <c r="F19" i="10"/>
  <c r="F25" i="10" s="1"/>
  <c r="K37" i="10"/>
  <c r="E179" i="10"/>
  <c r="D179" i="10"/>
  <c r="G72" i="10"/>
  <c r="K19" i="10"/>
  <c r="I19" i="10"/>
  <c r="C74" i="10"/>
  <c r="I22" i="10"/>
  <c r="N12" i="7"/>
  <c r="C69" i="10"/>
  <c r="M5" i="7"/>
  <c r="N38" i="6"/>
  <c r="N57" i="6"/>
  <c r="N25" i="6"/>
  <c r="N41" i="6"/>
  <c r="N58" i="6"/>
  <c r="G53" i="10"/>
  <c r="D37" i="9"/>
  <c r="N16" i="7"/>
  <c r="B32" i="6"/>
  <c r="B36" i="6"/>
  <c r="B61" i="6"/>
  <c r="N15" i="7" s="1"/>
  <c r="M15" i="6"/>
  <c r="N15" i="6" s="1"/>
  <c r="M19" i="6"/>
  <c r="N19" i="6" s="1"/>
  <c r="M22" i="6"/>
  <c r="N22" i="6" s="1"/>
  <c r="M23" i="6"/>
  <c r="N23" i="6" s="1"/>
  <c r="M31" i="6"/>
  <c r="N31" i="6" s="1"/>
  <c r="M35" i="6"/>
  <c r="N35" i="6" s="1"/>
  <c r="M45" i="6"/>
  <c r="N45" i="6" s="1"/>
  <c r="M50" i="6"/>
  <c r="N50" i="6" s="1"/>
  <c r="M59" i="6"/>
  <c r="N59" i="6" s="1"/>
  <c r="B28" i="7"/>
  <c r="B34" i="7"/>
  <c r="B40" i="7"/>
  <c r="B51" i="7"/>
  <c r="B56" i="7"/>
  <c r="K120" i="9"/>
  <c r="G116" i="10"/>
  <c r="G154" i="10"/>
  <c r="E51" i="10"/>
  <c r="E54" i="10" s="1"/>
  <c r="B19" i="6"/>
  <c r="B34" i="6"/>
  <c r="B49" i="6"/>
  <c r="B63" i="6"/>
  <c r="C63" i="6" s="1"/>
  <c r="M16" i="6"/>
  <c r="N16" i="6" s="1"/>
  <c r="M26" i="6"/>
  <c r="N26" i="6" s="1"/>
  <c r="M28" i="6"/>
  <c r="N27" i="7" s="1"/>
  <c r="M29" i="6"/>
  <c r="N29" i="6" s="1"/>
  <c r="M32" i="6"/>
  <c r="N32" i="6" s="1"/>
  <c r="M37" i="6"/>
  <c r="N37" i="6" s="1"/>
  <c r="M43" i="6"/>
  <c r="N43" i="6" s="1"/>
  <c r="M51" i="6"/>
  <c r="N51" i="6" s="1"/>
  <c r="M52" i="6"/>
  <c r="N52" i="6" s="1"/>
  <c r="B18" i="7"/>
  <c r="B19" i="7"/>
  <c r="B20" i="7"/>
  <c r="B26" i="7"/>
  <c r="B37" i="7"/>
  <c r="B41" i="7"/>
  <c r="B49" i="7"/>
  <c r="B53" i="7"/>
  <c r="B57" i="7"/>
  <c r="B67" i="7"/>
  <c r="B69" i="7"/>
  <c r="B74" i="7"/>
  <c r="C25" i="10"/>
  <c r="J101" i="10"/>
  <c r="K22" i="10"/>
  <c r="J43" i="10"/>
  <c r="D43" i="10"/>
  <c r="D160" i="10"/>
  <c r="D161" i="10" s="1"/>
  <c r="E105" i="9"/>
  <c r="F120" i="9"/>
  <c r="F30" i="9"/>
  <c r="G30" i="9" s="1"/>
  <c r="E31" i="9"/>
  <c r="G31" i="9" s="1"/>
  <c r="E32" i="9"/>
  <c r="G32" i="9" s="1"/>
  <c r="F36" i="9"/>
  <c r="G36" i="9" s="1"/>
  <c r="C116" i="10"/>
  <c r="G14" i="9"/>
  <c r="B25" i="6"/>
  <c r="B56" i="6"/>
  <c r="M14" i="6"/>
  <c r="N14" i="6" s="1"/>
  <c r="M24" i="6"/>
  <c r="N24" i="6" s="1"/>
  <c r="M30" i="6"/>
  <c r="N30" i="6" s="1"/>
  <c r="B24" i="7"/>
  <c r="B39" i="7"/>
  <c r="B50" i="7"/>
  <c r="B61" i="7"/>
  <c r="G156" i="10"/>
  <c r="C105" i="9"/>
  <c r="I73" i="9"/>
  <c r="I36" i="9"/>
  <c r="I37" i="9" s="1"/>
  <c r="H89" i="9" s="1"/>
  <c r="B21" i="6"/>
  <c r="B33" i="6"/>
  <c r="B37" i="6"/>
  <c r="B43" i="6"/>
  <c r="C43" i="6" s="1"/>
  <c r="B44" i="6"/>
  <c r="B47" i="6"/>
  <c r="B52" i="6"/>
  <c r="B57" i="6"/>
  <c r="C57" i="6" s="1"/>
  <c r="B62" i="6"/>
  <c r="M21" i="6"/>
  <c r="N21" i="6" s="1"/>
  <c r="M36" i="6"/>
  <c r="N36" i="6" s="1"/>
  <c r="M42" i="6"/>
  <c r="N42" i="6" s="1"/>
  <c r="M46" i="6"/>
  <c r="N46" i="6" s="1"/>
  <c r="M47" i="6"/>
  <c r="N47" i="6" s="1"/>
  <c r="M54" i="6"/>
  <c r="N54" i="6" s="1"/>
  <c r="B17" i="7"/>
  <c r="B25" i="7"/>
  <c r="B31" i="7"/>
  <c r="B35" i="7"/>
  <c r="B46" i="7"/>
  <c r="B66" i="7"/>
  <c r="B68" i="7"/>
  <c r="B70" i="7"/>
  <c r="B76" i="7"/>
  <c r="H101" i="10"/>
  <c r="D116" i="10"/>
  <c r="E116" i="10"/>
  <c r="E160" i="10"/>
  <c r="E161" i="10" s="1"/>
  <c r="G105" i="9"/>
  <c r="F29" i="9"/>
  <c r="G29" i="9" s="1"/>
  <c r="G120" i="9"/>
  <c r="E33" i="9"/>
  <c r="F33" i="9"/>
  <c r="E35" i="9"/>
  <c r="F35" i="9"/>
  <c r="G25" i="10"/>
  <c r="K16" i="10"/>
  <c r="I23" i="10"/>
  <c r="K23" i="10"/>
  <c r="I39" i="10"/>
  <c r="K39" i="10"/>
  <c r="K24" i="10"/>
  <c r="I24" i="10"/>
  <c r="K34" i="10"/>
  <c r="G43" i="10"/>
  <c r="I34" i="10"/>
  <c r="I35" i="10"/>
  <c r="K35" i="10"/>
  <c r="K38" i="10"/>
  <c r="I38" i="10"/>
  <c r="K40" i="10"/>
  <c r="I40" i="10"/>
  <c r="K42" i="10"/>
  <c r="I42" i="10"/>
  <c r="I17" i="10"/>
  <c r="K17" i="10"/>
  <c r="I18" i="10"/>
  <c r="G80" i="10"/>
  <c r="K18" i="10"/>
  <c r="G73" i="10"/>
  <c r="I16" i="10"/>
  <c r="H37" i="9"/>
  <c r="E25" i="10"/>
  <c r="G78" i="10" s="1"/>
  <c r="J25" i="10"/>
  <c r="G157" i="10"/>
  <c r="G15" i="9"/>
  <c r="G18" i="9"/>
  <c r="D25" i="10"/>
  <c r="L43" i="10"/>
  <c r="D22" i="9"/>
  <c r="G52" i="10"/>
  <c r="C17" i="6"/>
  <c r="I41" i="10"/>
  <c r="K21" i="10"/>
  <c r="H116" i="10"/>
  <c r="G175" i="10"/>
  <c r="C36" i="10"/>
  <c r="C43" i="10" s="1"/>
  <c r="H16" i="9"/>
  <c r="H22" i="9" s="1"/>
  <c r="H88" i="9" s="1"/>
  <c r="B14" i="6"/>
  <c r="B22" i="6"/>
  <c r="B50" i="6"/>
  <c r="M20" i="6"/>
  <c r="N20" i="6" s="1"/>
  <c r="B73" i="7"/>
  <c r="G101" i="10"/>
  <c r="L18" i="10"/>
  <c r="L25" i="10" s="1"/>
  <c r="E36" i="10"/>
  <c r="G77" i="10" s="1"/>
  <c r="I116" i="10"/>
  <c r="D51" i="10"/>
  <c r="E19" i="9"/>
  <c r="G19" i="9" s="1"/>
  <c r="F22" i="9"/>
  <c r="D120" i="9"/>
  <c r="D105" i="9"/>
  <c r="M11" i="10"/>
  <c r="K41" i="10"/>
  <c r="H86" i="9"/>
  <c r="G69" i="10"/>
  <c r="I120" i="9"/>
  <c r="F166" i="10"/>
  <c r="I21" i="10"/>
  <c r="I72" i="9"/>
  <c r="G158" i="10"/>
  <c r="E120" i="9"/>
  <c r="F28" i="9"/>
  <c r="E55" i="10"/>
  <c r="G55" i="10" s="1"/>
  <c r="F63" i="10"/>
  <c r="C22" i="9"/>
  <c r="B13" i="6"/>
  <c r="B16" i="6"/>
  <c r="B29" i="6"/>
  <c r="B40" i="6"/>
  <c r="B41" i="6"/>
  <c r="N17" i="7" s="1"/>
  <c r="B46" i="6"/>
  <c r="M18" i="6"/>
  <c r="N18" i="6" s="1"/>
  <c r="M27" i="6"/>
  <c r="N27" i="6" s="1"/>
  <c r="M39" i="6"/>
  <c r="N39" i="6" s="1"/>
  <c r="M49" i="6"/>
  <c r="N49" i="6" s="1"/>
  <c r="M55" i="6"/>
  <c r="N55" i="6" s="1"/>
  <c r="F105" i="9"/>
  <c r="G56" i="10"/>
  <c r="K36" i="10"/>
  <c r="M25" i="10"/>
  <c r="D101" i="10"/>
  <c r="B15" i="6"/>
  <c r="B28" i="6"/>
  <c r="B30" i="6"/>
  <c r="B35" i="6"/>
  <c r="M13" i="6"/>
  <c r="N13" i="6" s="1"/>
  <c r="B45" i="7"/>
  <c r="K5" i="10"/>
  <c r="C86" i="9"/>
  <c r="I37" i="10"/>
  <c r="B48" i="7"/>
  <c r="G178" i="10"/>
  <c r="G179" i="10" s="1"/>
  <c r="G185" i="10" s="1"/>
  <c r="H11" i="9"/>
  <c r="B18" i="6"/>
  <c r="B20" i="6"/>
  <c r="B24" i="6"/>
  <c r="B26" i="6"/>
  <c r="B53" i="6"/>
  <c r="B58" i="6"/>
  <c r="B59" i="6"/>
  <c r="M17" i="6"/>
  <c r="N17" i="6" s="1"/>
  <c r="M48" i="6"/>
  <c r="N48" i="6" s="1"/>
  <c r="M53" i="6"/>
  <c r="N53" i="6" s="1"/>
  <c r="B21" i="7"/>
  <c r="B75" i="7"/>
  <c r="I101" i="10"/>
  <c r="C101" i="10"/>
  <c r="M36" i="10"/>
  <c r="M43" i="10" s="1"/>
  <c r="D68" i="9"/>
  <c r="G75" i="10"/>
  <c r="G79" i="10"/>
  <c r="N34" i="6"/>
  <c r="C44" i="9"/>
  <c r="G176" i="10"/>
  <c r="H17" i="10" l="1"/>
  <c r="H20" i="10"/>
  <c r="G33" i="9"/>
  <c r="C26" i="6"/>
  <c r="N28" i="7"/>
  <c r="G35" i="9"/>
  <c r="N26" i="7"/>
  <c r="F37" i="9"/>
  <c r="C76" i="10"/>
  <c r="N34" i="7"/>
  <c r="N25" i="7"/>
  <c r="C56" i="6"/>
  <c r="C47" i="6"/>
  <c r="C33" i="6"/>
  <c r="C30" i="6"/>
  <c r="K43" i="10"/>
  <c r="C78" i="10" s="1"/>
  <c r="C52" i="6"/>
  <c r="C37" i="6"/>
  <c r="G28" i="9"/>
  <c r="H18" i="10"/>
  <c r="G51" i="10"/>
  <c r="G71" i="10"/>
  <c r="H41" i="10"/>
  <c r="I36" i="10"/>
  <c r="H35" i="10"/>
  <c r="N28" i="6"/>
  <c r="C45" i="6"/>
  <c r="C29" i="6"/>
  <c r="C22" i="6"/>
  <c r="C32" i="6"/>
  <c r="C23" i="6"/>
  <c r="E37" i="9"/>
  <c r="G37" i="9" s="1"/>
  <c r="C89" i="9" s="1"/>
  <c r="C13" i="6"/>
  <c r="C53" i="6"/>
  <c r="B77" i="7"/>
  <c r="C19" i="6"/>
  <c r="C54" i="6"/>
  <c r="C62" i="6"/>
  <c r="C21" i="6"/>
  <c r="B47" i="7"/>
  <c r="N21" i="7" s="1"/>
  <c r="C51" i="6"/>
  <c r="E43" i="10"/>
  <c r="I43" i="10" s="1"/>
  <c r="C77" i="10" s="1"/>
  <c r="C55" i="6"/>
  <c r="C31" i="6"/>
  <c r="C34" i="6"/>
  <c r="C18" i="6"/>
  <c r="C35" i="6"/>
  <c r="C60" i="6"/>
  <c r="C25" i="6"/>
  <c r="C40" i="6"/>
  <c r="C50" i="6"/>
  <c r="C44" i="6"/>
  <c r="C36" i="6"/>
  <c r="C27" i="6"/>
  <c r="C38" i="6"/>
  <c r="C58" i="6"/>
  <c r="C20" i="6"/>
  <c r="C15" i="6"/>
  <c r="C39" i="6"/>
  <c r="C41" i="6"/>
  <c r="N32" i="7"/>
  <c r="N29" i="7"/>
  <c r="B30" i="7"/>
  <c r="C59" i="6"/>
  <c r="C24" i="6"/>
  <c r="C28" i="6"/>
  <c r="C48" i="6"/>
  <c r="C46" i="6"/>
  <c r="C16" i="6"/>
  <c r="C14" i="6"/>
  <c r="C61" i="6"/>
  <c r="C42" i="6"/>
  <c r="G160" i="10"/>
  <c r="G161" i="10" s="1"/>
  <c r="G167" i="10" s="1"/>
  <c r="C49" i="6"/>
  <c r="H23" i="10"/>
  <c r="K25" i="10"/>
  <c r="C72" i="10" s="1"/>
  <c r="I25" i="10"/>
  <c r="C71" i="10" s="1"/>
  <c r="H16" i="10"/>
  <c r="H19" i="10"/>
  <c r="H40" i="10"/>
  <c r="C79" i="10"/>
  <c r="H37" i="10"/>
  <c r="H38" i="10"/>
  <c r="H34" i="10"/>
  <c r="H36" i="10"/>
  <c r="H39" i="10"/>
  <c r="H42" i="10"/>
  <c r="H22" i="10"/>
  <c r="H25" i="10"/>
  <c r="N33" i="7"/>
  <c r="G81" i="10"/>
  <c r="B59" i="7"/>
  <c r="N46" i="7" s="1"/>
  <c r="H43" i="10"/>
  <c r="C75" i="10"/>
  <c r="C73" i="10"/>
  <c r="E57" i="10"/>
  <c r="G57" i="10" s="1"/>
  <c r="N18" i="7"/>
  <c r="H21" i="10"/>
  <c r="C80" i="10"/>
  <c r="H24" i="10"/>
  <c r="D54" i="10"/>
  <c r="G54" i="10" s="1"/>
  <c r="E22" i="9"/>
  <c r="G22" i="9" s="1"/>
  <c r="C88" i="9" s="1"/>
  <c r="B42" i="7"/>
  <c r="D58" i="10" l="1"/>
  <c r="E58" i="10"/>
  <c r="N41" i="7"/>
  <c r="N45" i="7"/>
  <c r="N20" i="7"/>
  <c r="N44" i="7"/>
  <c r="N48" i="7"/>
  <c r="G76" i="10"/>
  <c r="G58" i="10"/>
  <c r="G64" i="10" s="1"/>
  <c r="B60" i="7"/>
  <c r="N19" i="7"/>
  <c r="N42" i="7"/>
  <c r="N43" i="7"/>
  <c r="N40" i="7"/>
  <c r="G74" i="10" l="1"/>
  <c r="C81" i="10"/>
  <c r="B71" i="7"/>
  <c r="B82" i="7" l="1"/>
  <c r="B78" i="7"/>
  <c r="N31" i="7" l="1"/>
  <c r="N39" i="7"/>
</calcChain>
</file>

<file path=xl/sharedStrings.xml><?xml version="1.0" encoding="utf-8"?>
<sst xmlns="http://schemas.openxmlformats.org/spreadsheetml/2006/main" count="906" uniqueCount="500">
  <si>
    <t>Les Corts</t>
  </si>
  <si>
    <t>Sindicatura de Comptes</t>
  </si>
  <si>
    <t>Consell Valencià de Cultura</t>
  </si>
  <si>
    <t>Síndic de Greuges</t>
  </si>
  <si>
    <t>Consell Jurídic Consultiu</t>
  </si>
  <si>
    <t>Acadèmia Valenciana de la Llengua</t>
  </si>
  <si>
    <t>B) GASTOS A DISTRIBUIR EN VARIOS EJERCICIOS</t>
  </si>
  <si>
    <t>B) INGRESOS A DISTRIBUIR EN VARIOS EJERCICIOS</t>
  </si>
  <si>
    <t>C) PROVISIONES PARA RIESGOS Y GASTOS</t>
  </si>
  <si>
    <t xml:space="preserve">   4. Deudas en moneda extranjera</t>
  </si>
  <si>
    <t>X100</t>
  </si>
  <si>
    <t>EJERCICIO</t>
  </si>
  <si>
    <t>Importes en euros</t>
  </si>
  <si>
    <t>ACTIVO</t>
  </si>
  <si>
    <t>%</t>
  </si>
  <si>
    <t>BALANCE AGREGADO</t>
  </si>
  <si>
    <t>CONCEPTOS</t>
  </si>
  <si>
    <t>INDICADORES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</si>
  <si>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</si>
  <si>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</si>
  <si>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</si>
  <si>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</si>
  <si>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</si>
  <si>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</si>
  <si>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</si>
  <si>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</si>
  <si>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</si>
  <si>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</si>
  <si>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</si>
  <si>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</si>
  <si>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</si>
  <si>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1. Acumulación</t>
  </si>
  <si>
    <t>IGOR: Ingresos de gestión ordinaria</t>
  </si>
  <si>
    <t>GGOR: Gastos de gestión ordinaria</t>
  </si>
  <si>
    <t>B) OPERACIONES INTERRUMPIDAS</t>
  </si>
  <si>
    <t>AGREGADO</t>
  </si>
  <si>
    <t>INFORMACIÓN GENERAL</t>
  </si>
  <si>
    <t>Sector</t>
  </si>
  <si>
    <t>Subsector</t>
  </si>
  <si>
    <t>INFORMACIÓN CONTABLE</t>
  </si>
  <si>
    <t>Régimen presupuestario</t>
  </si>
  <si>
    <t>PGC</t>
  </si>
  <si>
    <t>MODELIZACIÓN</t>
  </si>
  <si>
    <t>OBSERVACIONES</t>
  </si>
  <si>
    <t>Número medio de empleados*</t>
  </si>
  <si>
    <t>ENTIDADES AGREGADAS</t>
  </si>
  <si>
    <t>OTRA INFORMACIÓN AGREGADA</t>
  </si>
  <si>
    <t>Tipos de entidad</t>
  </si>
  <si>
    <t>Limitativo</t>
  </si>
  <si>
    <t>PGC público 2001</t>
  </si>
  <si>
    <t>ESTADOS INDIVIDUALES</t>
  </si>
  <si>
    <t>1. Ingresos tributarios</t>
  </si>
  <si>
    <t>2. Transferencias y subvenciones recibidas   (a+b+c+d)</t>
  </si>
  <si>
    <t xml:space="preserve"> a) Transferencias corrientes</t>
  </si>
  <si>
    <t xml:space="preserve"> b) Subvenciones corrientes</t>
  </si>
  <si>
    <t xml:space="preserve"> c) Transferencias de capital</t>
  </si>
  <si>
    <t xml:space="preserve"> d) Subvenciones de capital</t>
  </si>
  <si>
    <t xml:space="preserve"> a) Ingresos accesorios y otros de gestión corriente</t>
  </si>
  <si>
    <t xml:space="preserve"> b) Exceso de provisiones de riesgos y gastos</t>
  </si>
  <si>
    <t>EMPLEADOS</t>
  </si>
  <si>
    <t>AVALES</t>
  </si>
  <si>
    <t>Administrativo</t>
  </si>
  <si>
    <t>A) INMOVILIZADO</t>
  </si>
  <si>
    <t xml:space="preserve">  I. Inversiones destinadas al uso general  </t>
  </si>
  <si>
    <t xml:space="preserve">   1. Terrenos y bienes naturales  </t>
  </si>
  <si>
    <t xml:space="preserve">   2. Infraestructuras y bienes destinados al uso general</t>
  </si>
  <si>
    <t xml:space="preserve">   3. Bienes comunales</t>
  </si>
  <si>
    <t xml:space="preserve">   4. Bienes del patrimonio histórico, artístico y cultural </t>
  </si>
  <si>
    <t xml:space="preserve"> II. Inmovilizaciones inmateriales</t>
  </si>
  <si>
    <t xml:space="preserve">   1. Gastos de investigación y desarrollo</t>
  </si>
  <si>
    <t xml:space="preserve">   2. Propiedad industrial</t>
  </si>
  <si>
    <t xml:space="preserve">   3. Aplicaciones informáticas</t>
  </si>
  <si>
    <t xml:space="preserve">   4. Propiedad intelectual</t>
  </si>
  <si>
    <t xml:space="preserve">   5. Derechos sobre bienes en régimen de arrendamiento financiero</t>
  </si>
  <si>
    <t xml:space="preserve">   6. Amortizaciones</t>
  </si>
  <si>
    <t xml:space="preserve">   7. Otro inmovilizado</t>
  </si>
  <si>
    <t xml:space="preserve"> III. Inmovilizaciones materiales</t>
  </si>
  <si>
    <t xml:space="preserve">   1. Terrenos y construcciones</t>
  </si>
  <si>
    <t xml:space="preserve">   2. Instalaciones técnicas y maquinaria</t>
  </si>
  <si>
    <t xml:space="preserve">   3. Utillaje y mobiliario</t>
  </si>
  <si>
    <t xml:space="preserve">   4. Otro inmovilizado</t>
  </si>
  <si>
    <t xml:space="preserve">   5. Amortizaciones</t>
  </si>
  <si>
    <t xml:space="preserve"> IV. Inversiones gestionadas</t>
  </si>
  <si>
    <t xml:space="preserve"> V. Inversiones financieras permanentes</t>
  </si>
  <si>
    <t xml:space="preserve">   1. Cartera de valores a largo plazo</t>
  </si>
  <si>
    <t xml:space="preserve">   2. Otras inversiones y créditos a largo plazo</t>
  </si>
  <si>
    <t xml:space="preserve">   3. Fianzas y depósitos constituidos a largo plazo</t>
  </si>
  <si>
    <t xml:space="preserve">   4. Provisiones</t>
  </si>
  <si>
    <t>C) ACTIVO CIRCULANTE</t>
  </si>
  <si>
    <t xml:space="preserve"> I. Existencias</t>
  </si>
  <si>
    <t xml:space="preserve">   1. Comerciales.</t>
  </si>
  <si>
    <t xml:space="preserve">   2. Materias primas y otros aprovisionamientos.</t>
  </si>
  <si>
    <t xml:space="preserve">   3. Productos en curso y semiterminados</t>
  </si>
  <si>
    <t xml:space="preserve">   4. Productos terminados.</t>
  </si>
  <si>
    <t xml:space="preserve">   5. Subproductos, residuos y materiales recuperados.</t>
  </si>
  <si>
    <t xml:space="preserve">   6. Provisiones</t>
  </si>
  <si>
    <t xml:space="preserve"> II. Deudores</t>
  </si>
  <si>
    <t xml:space="preserve">   1. Deudores presupuestarios</t>
  </si>
  <si>
    <t xml:space="preserve">   2. Deudores no presupuestarios</t>
  </si>
  <si>
    <t xml:space="preserve">   3. Deudores por administración de recursos por cta. de otros entes públ.</t>
  </si>
  <si>
    <t xml:space="preserve">   4. Administraciones públicas</t>
  </si>
  <si>
    <t xml:space="preserve">   5. Otros deudores</t>
  </si>
  <si>
    <t xml:space="preserve"> III. Inversiones financieras temporales</t>
  </si>
  <si>
    <t xml:space="preserve">   1. Cartera de valores a corto plazo</t>
  </si>
  <si>
    <t xml:space="preserve">   2. Otras inversiones y créditos a corto plazo</t>
  </si>
  <si>
    <t xml:space="preserve">   3. Fianzas y depósitos constituidos a corto plazo</t>
  </si>
  <si>
    <t xml:space="preserve"> IV. Tesorería</t>
  </si>
  <si>
    <t xml:space="preserve"> V. Ajustes por periodificación</t>
  </si>
  <si>
    <t>TOTAL ACTIVO (A + B+ C)</t>
  </si>
  <si>
    <t>A) FONDOS PROPIOS</t>
  </si>
  <si>
    <t xml:space="preserve"> I. Patrimonio</t>
  </si>
  <si>
    <t xml:space="preserve">   1. Patrimonio</t>
  </si>
  <si>
    <t xml:space="preserve">   2. Patrimonio recibido en adscripción</t>
  </si>
  <si>
    <t xml:space="preserve">   3. Patrimonio recibido en cesión</t>
  </si>
  <si>
    <t xml:space="preserve">   4. Patrimonio entregado en adscripción</t>
  </si>
  <si>
    <t xml:space="preserve">   5. Patrimonio entregado en cesión</t>
  </si>
  <si>
    <t xml:space="preserve">   6. Patrimonio entregado al uso general</t>
  </si>
  <si>
    <t xml:space="preserve"> II. Reservas</t>
  </si>
  <si>
    <t xml:space="preserve"> III. Resultados de ejercicios anteriores</t>
  </si>
  <si>
    <t xml:space="preserve">   1. Resultados positivos de ejercicios anteriores</t>
  </si>
  <si>
    <t xml:space="preserve">   2. Resultados negativos de ejercicios anteriores</t>
  </si>
  <si>
    <t xml:space="preserve"> IV. Resultados del ejercicio</t>
  </si>
  <si>
    <t>D) ACREEDORES A LARGO PLAZO</t>
  </si>
  <si>
    <t xml:space="preserve"> I. Emisiones de obligaciones y otros valores negociables</t>
  </si>
  <si>
    <t xml:space="preserve">   1. Obligaciones y bonos</t>
  </si>
  <si>
    <t xml:space="preserve">   2. Deudas representadas en otros valores negociables</t>
  </si>
  <si>
    <t xml:space="preserve">   3. Intereses de obligaciones y otros valores</t>
  </si>
  <si>
    <t xml:space="preserve"> II Otras deudas a largo plazo</t>
  </si>
  <si>
    <t xml:space="preserve">   1. Deudas con entidades de crédito</t>
  </si>
  <si>
    <t xml:space="preserve">   2. Otras deudas</t>
  </si>
  <si>
    <t xml:space="preserve">   3. Deudas en moneda extranjera</t>
  </si>
  <si>
    <t xml:space="preserve">   4. Fianzas y depósitos recibidos a largo plazo</t>
  </si>
  <si>
    <t xml:space="preserve"> III. Desembolsos pendientes sobre acciones no exigidos</t>
  </si>
  <si>
    <t>E) ACREEDORES A CORTO PLAZO</t>
  </si>
  <si>
    <t xml:space="preserve">   1. Obligaciones y bonos a corto plazo</t>
  </si>
  <si>
    <t xml:space="preserve"> II. Deudas con entidades de crédito</t>
  </si>
  <si>
    <t xml:space="preserve">   1. Préstamos y otras deudas</t>
  </si>
  <si>
    <t xml:space="preserve">   2. Deudas por intereses</t>
  </si>
  <si>
    <t xml:space="preserve"> III. Acreedores</t>
  </si>
  <si>
    <t xml:space="preserve">   1. Acreedores presupuestarios</t>
  </si>
  <si>
    <t xml:space="preserve">   2. Acreedores no presupuestarios</t>
  </si>
  <si>
    <t xml:space="preserve">   3. Acreedores por administración de recursos por cta. de otros entes públ.</t>
  </si>
  <si>
    <t xml:space="preserve">   5. Otros acreedores</t>
  </si>
  <si>
    <t xml:space="preserve">   6. Fianzas y depósitos recibidos a corto plazo</t>
  </si>
  <si>
    <t xml:space="preserve"> IV. Ajustes por periodificación</t>
  </si>
  <si>
    <t>F) PROVISIONES PARA RIESGOS Y GASTOS A CORTO PLAZO</t>
  </si>
  <si>
    <t xml:space="preserve">      Provisión para devolución de impuetos</t>
  </si>
  <si>
    <t>TOTAL PASIVO (A + B + C+ D + E + F)</t>
  </si>
  <si>
    <t>PASIVO</t>
  </si>
  <si>
    <t>CUENTA DEL RESULTADO ECONÓMICO PATRIMONIAL AGREGADA</t>
  </si>
  <si>
    <t xml:space="preserve">    a) Impuestos sobre la renta de las personas físicas</t>
  </si>
  <si>
    <t xml:space="preserve">    b) Impuesto sobre sociedades</t>
  </si>
  <si>
    <t xml:space="preserve">    c) Impuesto sobre sucesiones y donaciones</t>
  </si>
  <si>
    <t xml:space="preserve">    d) Impuesto sobre el Patrimonio</t>
  </si>
  <si>
    <t xml:space="preserve">    e) Otros impuestos</t>
  </si>
  <si>
    <t xml:space="preserve">    g) Impuesto sobre el valor añadido</t>
  </si>
  <si>
    <t xml:space="preserve">    h) Impuestos especiales</t>
  </si>
  <si>
    <t xml:space="preserve">    i) Impuesto sobre el juego del bingo</t>
  </si>
  <si>
    <t xml:space="preserve">    j) Otros impuestos</t>
  </si>
  <si>
    <t xml:space="preserve">    k) Tasas por prestación de servicios o realización de actividades</t>
  </si>
  <si>
    <t xml:space="preserve">    l) Tasas fiscales</t>
  </si>
  <si>
    <t xml:space="preserve">    m) Contribuciones especiales</t>
  </si>
  <si>
    <t xml:space="preserve">    n) Canon de saneamiento de aguas residuales</t>
  </si>
  <si>
    <t xml:space="preserve">    o) Ingresos tributarios de entes de carácter comercial</t>
  </si>
  <si>
    <t>3. Ventas y prestaciones de servicios</t>
  </si>
  <si>
    <t>4. Variación de existencias de productos terminados y en curso de fabricación</t>
  </si>
  <si>
    <t>5. Trabajos realizados para la entidad</t>
  </si>
  <si>
    <t>6. Otros ingresos de explotación / gestión</t>
  </si>
  <si>
    <t>7. Reintegros</t>
  </si>
  <si>
    <t>A.1) INGRESOS DE GESTIÓN ORDINARIA   (1+2+3+4+5+6+7)</t>
  </si>
  <si>
    <t xml:space="preserve">    a) Sueldos, salarios y asimilados</t>
  </si>
  <si>
    <t xml:space="preserve">    b) Cargas sociales</t>
  </si>
  <si>
    <t>8. Gastos de personal</t>
  </si>
  <si>
    <t>9. Prestaciones sociales</t>
  </si>
  <si>
    <t>10. Transferencias y subvenciones entregadas   (a+b+c+d)</t>
  </si>
  <si>
    <t>11. Aprovisionamientos</t>
  </si>
  <si>
    <t>12. Variación de las provisiones de tráfico</t>
  </si>
  <si>
    <t xml:space="preserve">    a) Servicios exteriores</t>
  </si>
  <si>
    <t xml:space="preserve">    b) Tributos</t>
  </si>
  <si>
    <t xml:space="preserve">    c) Otros gastos de gestión corriente</t>
  </si>
  <si>
    <t>A.3) AHORRO / (DESAHORRO) DE LA GESTIÓN ORDINARIA (A.1+A.2)</t>
  </si>
  <si>
    <t xml:space="preserve">   a) Beneficios procedentes del inmovilizado</t>
  </si>
  <si>
    <t xml:space="preserve">   b) Beneficios por operaciones de endeudamiento</t>
  </si>
  <si>
    <t xml:space="preserve">   c) Ingresos extraordinarios</t>
  </si>
  <si>
    <t xml:space="preserve">   d) Ingresos y beneficios de otros ejercicios</t>
  </si>
  <si>
    <t xml:space="preserve">    a) Pérdidas procedentes de inmovilizado</t>
  </si>
  <si>
    <t xml:space="preserve">    b) Pérdidas por operaciones de endeudamiento</t>
  </si>
  <si>
    <t xml:space="preserve">    c) Gastos extraordinarios</t>
  </si>
  <si>
    <t xml:space="preserve">    d) Gastos y pérdidas de otros ejercicios</t>
  </si>
  <si>
    <t>PREVISIÓN</t>
  </si>
  <si>
    <t>EJECUCIÓN</t>
  </si>
  <si>
    <t>CAPÍTULOS</t>
  </si>
  <si>
    <t>INICIAL</t>
  </si>
  <si>
    <t>MODIFICACIÓN</t>
  </si>
  <si>
    <t>DEFINITIVA</t>
  </si>
  <si>
    <t>(a)</t>
  </si>
  <si>
    <t>(b)</t>
  </si>
  <si>
    <t>PAGOS</t>
  </si>
  <si>
    <t>(c)</t>
  </si>
  <si>
    <t>PEND. PAGO</t>
  </si>
  <si>
    <t>1.</t>
  </si>
  <si>
    <t>Gastos de personal</t>
  </si>
  <si>
    <t>2.</t>
  </si>
  <si>
    <t>Compra de bienes corri. y gast. de funcion.</t>
  </si>
  <si>
    <t>3.</t>
  </si>
  <si>
    <t>Gastos financieros</t>
  </si>
  <si>
    <t>4.</t>
  </si>
  <si>
    <t>Transferencias corrientes</t>
  </si>
  <si>
    <t>6.</t>
  </si>
  <si>
    <t>Inversiones reales</t>
  </si>
  <si>
    <t>7.</t>
  </si>
  <si>
    <t>Transferencias de capital</t>
  </si>
  <si>
    <t>8.</t>
  </si>
  <si>
    <t>Activos financieros</t>
  </si>
  <si>
    <t>9.</t>
  </si>
  <si>
    <t>Pasivos financieros</t>
  </si>
  <si>
    <t>TOTAL GASTOS</t>
  </si>
  <si>
    <t>(d)</t>
  </si>
  <si>
    <t>(e)</t>
  </si>
  <si>
    <t>PEND. COBRO</t>
  </si>
  <si>
    <t>Impuestos directos</t>
  </si>
  <si>
    <t>Impuestos indirectos</t>
  </si>
  <si>
    <t>Tasas, precios públicos y otros ingresos</t>
  </si>
  <si>
    <t>5.</t>
  </si>
  <si>
    <t>Ingresos patrimoniales</t>
  </si>
  <si>
    <t>Enajenación de inversiones reales</t>
  </si>
  <si>
    <t>TOTAL INGRESOS</t>
  </si>
  <si>
    <t>DERECHOS RECONOCI. NETOS</t>
  </si>
  <si>
    <t>OBLIGACION. RECONOCI.</t>
  </si>
  <si>
    <t>RESULTADO</t>
  </si>
  <si>
    <t>NETOS</t>
  </si>
  <si>
    <t>NETAS</t>
  </si>
  <si>
    <t>AJUSTES</t>
  </si>
  <si>
    <t>PRESUPUESTA.</t>
  </si>
  <si>
    <t>a.</t>
  </si>
  <si>
    <t>Operaciones corrientes</t>
  </si>
  <si>
    <t>b.</t>
  </si>
  <si>
    <t>Operaciones de capital</t>
  </si>
  <si>
    <t>c.</t>
  </si>
  <si>
    <t>Operaciones comerciales</t>
  </si>
  <si>
    <t>1. Total operaciones no financieras  (a+b+c)</t>
  </si>
  <si>
    <t>d.</t>
  </si>
  <si>
    <t>e.</t>
  </si>
  <si>
    <t xml:space="preserve">Pasivos financieros </t>
  </si>
  <si>
    <t>2. Total operaciones financieras (d+e)</t>
  </si>
  <si>
    <t>I. RESULTADO PRESUPUESTARIO DEL EJERCI. (I= 1+2)</t>
  </si>
  <si>
    <t>Ajustes</t>
  </si>
  <si>
    <t>3. Créditos gastados financiados con remanente de tesorería</t>
  </si>
  <si>
    <t>4. Desviaciones de financiación negativas</t>
  </si>
  <si>
    <t>5. Desviaciones de financiación positivas</t>
  </si>
  <si>
    <t>II. TOTAL AJUSTES (II= 3+4-5)</t>
  </si>
  <si>
    <t>RESULTADO PRESUPUESTARIO AJUSTADO   /   SUPERÁVIT (DÉFICIT) DE FINANCI. DEL EJERCI. (I+II)</t>
  </si>
  <si>
    <t>NORMATIVA DEL SECTOR PÚBLICO ADMINISTRATIVO</t>
  </si>
  <si>
    <t>OTROS INDICADORES</t>
  </si>
  <si>
    <t>1. Ingresos por habitante</t>
  </si>
  <si>
    <t>2. Carga financiera global</t>
  </si>
  <si>
    <t>3. Gasto por habitante</t>
  </si>
  <si>
    <t>3. Carga financiera global por habitante</t>
  </si>
  <si>
    <t>4. Inversión por habitante</t>
  </si>
  <si>
    <t>4. Resultado presupuestario ajustado</t>
  </si>
  <si>
    <t>5. Esfuerzo inversor</t>
  </si>
  <si>
    <t>5. Presión fiscal por habitante</t>
  </si>
  <si>
    <t>6. Periodo medio de pago(*)</t>
  </si>
  <si>
    <t>6. Capacidad (necesidad) de financiación</t>
  </si>
  <si>
    <t>7. Financiación de gastos corrientes</t>
  </si>
  <si>
    <t>8. Personal</t>
  </si>
  <si>
    <t>9. Autonomía</t>
  </si>
  <si>
    <t>9. Transferencias</t>
  </si>
  <si>
    <t>10. Periodo medio de cobro(*)</t>
  </si>
  <si>
    <t>10. De riesgo</t>
  </si>
  <si>
    <t>11. Superávit (déficit) por habitante</t>
  </si>
  <si>
    <t>11. Ratio de ingresos (capítulos 1, 2 y 3)</t>
  </si>
  <si>
    <t>(*) Periodos medios derivados de la ejecución del presupuesto para la totalidad de los capítulos. En el balance se calculan los indicadores de plazo de cobro y de plazo de pago.</t>
  </si>
  <si>
    <r>
      <t>(a)</t>
    </r>
    <r>
      <rPr>
        <sz val="12"/>
        <rFont val="Times New Roman"/>
        <family val="1"/>
      </rPr>
      <t xml:space="preserve"> Estructura de la liquidación</t>
    </r>
  </si>
  <si>
    <t>ESTADO DE LIQUIDACIÓN DEL PRESUPUESTO AGREGADO</t>
  </si>
  <si>
    <t>Créditos presupuestarios</t>
  </si>
  <si>
    <t>Gastos comprometidos</t>
  </si>
  <si>
    <t>Obligaciones reconocidas netas</t>
  </si>
  <si>
    <t>Remanente de crédito</t>
  </si>
  <si>
    <t>Pagos</t>
  </si>
  <si>
    <t>Obligaciones pdtes de pago a 31 dic.</t>
  </si>
  <si>
    <t>Iniciales</t>
  </si>
  <si>
    <t>Modificaciones</t>
  </si>
  <si>
    <t>Definitivos</t>
  </si>
  <si>
    <t>01</t>
  </si>
  <si>
    <t>02</t>
  </si>
  <si>
    <t>03</t>
  </si>
  <si>
    <t>04</t>
  </si>
  <si>
    <t>00</t>
  </si>
  <si>
    <t>05</t>
  </si>
  <si>
    <t>06</t>
  </si>
  <si>
    <t>07</t>
  </si>
  <si>
    <t>I. Gastos de personal</t>
  </si>
  <si>
    <t>II. Compra de bienes corrientes y gastos de funcionamiento</t>
  </si>
  <si>
    <t>III. Gastos financieros</t>
  </si>
  <si>
    <t>IV. Transferencias corrientes</t>
  </si>
  <si>
    <t>VI. Inversiones reales</t>
  </si>
  <si>
    <t>VII. Transferencias de capital</t>
  </si>
  <si>
    <t>VIII. Activos financieros</t>
  </si>
  <si>
    <t>IX. Pasivos financieros</t>
  </si>
  <si>
    <t>TOTAL PRESUPUESTO DE GASTOS (I+II+III+IV+VI+VII+VIII+IX)</t>
  </si>
  <si>
    <t>Previsiones presupuestarias</t>
  </si>
  <si>
    <t>Derechos reconocidos netos</t>
  </si>
  <si>
    <t>Recaudación neta</t>
  </si>
  <si>
    <t>Derechos anulados y cancelados</t>
  </si>
  <si>
    <t>Drchos pdtes de cobro a 31 dic.</t>
  </si>
  <si>
    <t>I. Impuestos directos</t>
  </si>
  <si>
    <t>II. Impuestos indirectos</t>
  </si>
  <si>
    <t>III. Tasas, precios públicos y otros ingresos</t>
  </si>
  <si>
    <t>V. Ingresos patrimoniales</t>
  </si>
  <si>
    <t>VI. Enajenación de inversiones reales</t>
  </si>
  <si>
    <t>TOTAL PRESUPUESTO DE INGRESOS (I+II+III+IV+V+VI+VII+VIII+IX)</t>
  </si>
  <si>
    <t>UUPP. LIQUIDACIÓN DEL PRESUPUESTO DE GASTOS</t>
  </si>
  <si>
    <t>UUPP. LIQUIDACIÓN DEL PRESUPUESTO DE INGRESOS</t>
  </si>
  <si>
    <t>TODO EXCEPTO UUPP. LIQUIDACIÓN DEL PRESUPUESTO DE GASTOS</t>
  </si>
  <si>
    <t>TODO EXCEPTO UUPP. LIQUIDACIÓN DEL PRESUPUESTO DE INGRESOS</t>
  </si>
  <si>
    <t>IV. R. PRE. TODAS EXCEPTO UUPP</t>
  </si>
  <si>
    <t>IV. R. PRE.  UUPP</t>
  </si>
  <si>
    <t>OBLIGACIONES PENDIENTES A 1 DE ENERO</t>
  </si>
  <si>
    <t>MODIFICA. SALDO INICIAL Y ANULA.</t>
  </si>
  <si>
    <t>TOTAL OBLIGACIONES</t>
  </si>
  <si>
    <t>PAGOS REALIZADOS</t>
  </si>
  <si>
    <t>OBLIGACIONES PENDIENTES A 31 DE DICIEMB.</t>
  </si>
  <si>
    <t>DERECHOS PENDIENTES A 1 DE ENERO</t>
  </si>
  <si>
    <t>MODIFICACION SALDO INICIAL</t>
  </si>
  <si>
    <t>DERECHOS ANULADOS</t>
  </si>
  <si>
    <t>DERECHOS CANCELADOS</t>
  </si>
  <si>
    <t>RECAUDACIÓN</t>
  </si>
  <si>
    <t>DERECHOS PENDIENTES A 31 DE DICIEMB.</t>
  </si>
  <si>
    <t>TOTAL DERECHOS A COBRAR</t>
  </si>
  <si>
    <t>1.  (+)</t>
  </si>
  <si>
    <t>Derechos pendientes de cobro</t>
  </si>
  <si>
    <t>1. Cobros</t>
  </si>
  <si>
    <t xml:space="preserve">     (+) </t>
  </si>
  <si>
    <t>del presupuesto corriente</t>
  </si>
  <si>
    <t xml:space="preserve">    (+) Del presupuesto corriente</t>
  </si>
  <si>
    <t>de presupuestos cerrados</t>
  </si>
  <si>
    <t xml:space="preserve">    (+) De presupuestos cerrados</t>
  </si>
  <si>
    <t xml:space="preserve">     (+)</t>
  </si>
  <si>
    <t>de operaciones no presupuestarias</t>
  </si>
  <si>
    <t xml:space="preserve">    (+) De operaciones no presupuestarias</t>
  </si>
  <si>
    <t>de operaciones comerciales</t>
  </si>
  <si>
    <t xml:space="preserve">    (+) De operaciones comerciales</t>
  </si>
  <si>
    <t xml:space="preserve">      (-) </t>
  </si>
  <si>
    <t>de dudoso cobro</t>
  </si>
  <si>
    <t>2. Pagos</t>
  </si>
  <si>
    <t xml:space="preserve">      (-)</t>
  </si>
  <si>
    <t>cobros realizados pendientes de aplicación definitiva</t>
  </si>
  <si>
    <t>2.   (-)</t>
  </si>
  <si>
    <t>Obligaciones pendientes de pago</t>
  </si>
  <si>
    <t xml:space="preserve">      (+)</t>
  </si>
  <si>
    <t xml:space="preserve"> del presupuesto corriente</t>
  </si>
  <si>
    <t xml:space="preserve"> de presupuestos cerrados</t>
  </si>
  <si>
    <t xml:space="preserve"> de operaciones no presupuestarias</t>
  </si>
  <si>
    <t>I.- Flujo Neto de tesorería del ejercicio (1-2)</t>
  </si>
  <si>
    <t xml:space="preserve"> de operaciones comerciales</t>
  </si>
  <si>
    <t>3.- Saldo inicial de tesorería</t>
  </si>
  <si>
    <t xml:space="preserve"> pagos realizados pendientes de aplicación definitiva</t>
  </si>
  <si>
    <t>3.  (+)</t>
  </si>
  <si>
    <t xml:space="preserve"> Fondos líquidos</t>
  </si>
  <si>
    <t>II.- Saldo final de tesorería  (I+3)</t>
  </si>
  <si>
    <t>I.</t>
  </si>
  <si>
    <t>Remanente de tesorería afectado</t>
  </si>
  <si>
    <t>II.</t>
  </si>
  <si>
    <t>Remanente de tesorería no afectado</t>
  </si>
  <si>
    <t>III.</t>
  </si>
  <si>
    <t>Remanente de tesorería total (1-2+3) = (I + II)</t>
  </si>
  <si>
    <t>1. Realización de pagos de presupuestos cerrados</t>
  </si>
  <si>
    <t>1. Pendiente de pago de ejercicios cerrados</t>
  </si>
  <si>
    <t>2. Realización de cobros de presupuestos cerrados</t>
  </si>
  <si>
    <t>2. Pendiente de cobro de ejercicios cerrados</t>
  </si>
  <si>
    <t>ENTIDAD</t>
  </si>
  <si>
    <t>1.  (+) Derechos pendientes de cobro</t>
  </si>
  <si>
    <t xml:space="preserve">      (+) del presupuesto corriente</t>
  </si>
  <si>
    <t xml:space="preserve">      (+) de presupuesto cerrados</t>
  </si>
  <si>
    <t xml:space="preserve">      (+) de operaciones no presupuestarias</t>
  </si>
  <si>
    <t xml:space="preserve">      (+) de operaciones comerciales</t>
  </si>
  <si>
    <t xml:space="preserve">      (-) de dudoso cobro</t>
  </si>
  <si>
    <t xml:space="preserve">      (-) cobros realizados pendientes de aplicación definitiva</t>
  </si>
  <si>
    <t>2.  (-) Obligaciones pendientes de pago</t>
  </si>
  <si>
    <t xml:space="preserve">      (-) pagos realizados pendientes de aplicación definitiva</t>
  </si>
  <si>
    <t>3.  (+) Fondos líquidos</t>
  </si>
  <si>
    <t>I.   Remanente de tesorería afectado</t>
  </si>
  <si>
    <t>II. Remanente de tesorería no afectado</t>
  </si>
  <si>
    <t>III. Remanente de tesorería total (1-2+3) = (I + II)</t>
  </si>
  <si>
    <t>1.- Cobros</t>
  </si>
  <si>
    <t>I.- Flujo Neto de tesorería del ejercicio   (1-2)</t>
  </si>
  <si>
    <t>Obligaciones pendientes de pago a 1 de enero</t>
  </si>
  <si>
    <t>Recitificación saldo entrante y anulaciones (+) / (-)</t>
  </si>
  <si>
    <t>Total obligaciones</t>
  </si>
  <si>
    <t>Pagos realizados</t>
  </si>
  <si>
    <t>Obligaciones pendientes de pago a 31 de diciembre</t>
  </si>
  <si>
    <t>TOTAL OBLIGACIONES DE PRESUPUESTOS CERRADOS (I+II+III+IV+VI+VII+VIII+IX)</t>
  </si>
  <si>
    <t>Pendientes de cobro a 1 de enero</t>
  </si>
  <si>
    <t>Modificacio. saldo inicial (+) / (-)</t>
  </si>
  <si>
    <t>Derechos anulados. Liquidaciones</t>
  </si>
  <si>
    <t>Derechos anulados. Aplazamiento y fraccionamiento</t>
  </si>
  <si>
    <t>Derechos pendientes de cobro totales</t>
  </si>
  <si>
    <t>Derechos recaudados</t>
  </si>
  <si>
    <t>Derechos cancelados. Prescripción</t>
  </si>
  <si>
    <t>Derechos cancelados. Insolvencia y otras</t>
  </si>
  <si>
    <t>Derechos pendientes de cobro a 31 de diciembre</t>
  </si>
  <si>
    <t>08</t>
  </si>
  <si>
    <t>TOTAL DERECHOS A COBRAR DE PRESUPUESTOS CERRADOS (I+II+III+IV+V+VI+VII+VIII+IX)</t>
  </si>
  <si>
    <t>OBLIGACIONES DE PRESUPUESTOS CERRADOS. TODOS EXCEPTO UUPP</t>
  </si>
  <si>
    <t>DERECHOS A COBRAR DE PRESUPUESTOS CERRADOS. TODOS EXCEPTO UUPP</t>
  </si>
  <si>
    <t>REMANENTE DE TESORERÍA. TODOS EXCEPTO UUPP</t>
  </si>
  <si>
    <t>ESTADO DE TESORERÍA TODOS EXCEPTO UUPP</t>
  </si>
  <si>
    <t>OBLIGACIONES DE PRESUPUESTOS CERRADOS. UUPP</t>
  </si>
  <si>
    <t>DERECHOS A COBRAR DE PRESUPUESTOS CERRADOS. UUPP</t>
  </si>
  <si>
    <t>REMANENTE DE TESORERÍA. UUPP</t>
  </si>
  <si>
    <t>ESTADO DE TESORERÍA. UUPP</t>
  </si>
  <si>
    <t>ESTADO DEL REMANENTE DE TESORERÍA AGREGADO</t>
  </si>
  <si>
    <t>ESTADO DE LA TESORERÍA AGREGADO</t>
  </si>
  <si>
    <t>IV. RESULTADO PRESUPUESTARIO AGREGADO</t>
  </si>
  <si>
    <t>II. LIQUIDACIÓN DEL PRESUPUESTO DE INGRESOS AGREGADA</t>
  </si>
  <si>
    <t xml:space="preserve"> I. LIQUIDACIÓN DEL PRESUPUESTO DE GASTOS AGREGADO</t>
  </si>
  <si>
    <t>2. PRESUPUESTO DE INGRESOS.                  DERECHOS A COBRAR AGREGADOS</t>
  </si>
  <si>
    <t>1.PRESUPUESTO DE GASTOS.             OBLIGACIONES AGREGADAS</t>
  </si>
  <si>
    <t>PRESUPUESTOS CERRADOS AGREGADOS</t>
  </si>
  <si>
    <t xml:space="preserve">Sólo se presentan aquellos estados que son obligatorios para todas las entidades agregadas y determinada información de la memoria. El formato de la cuenta de pérdidas y ganancias sigue una estructura análoga a la presentada en el PGC público 2010 del sector administrativo estatal. </t>
  </si>
  <si>
    <t xml:space="preserve">    f) Impuesto sobre trasmisiones patrimoniales y actos jurídicos documentados</t>
  </si>
  <si>
    <t>13. Otros gastos de gestión</t>
  </si>
  <si>
    <t>14. Dotaciones para amortización de inmovilizado</t>
  </si>
  <si>
    <t>A.2) GASTOS DE GESTIÓN ORDINARIA   (8+9+10+11+12+13+14)</t>
  </si>
  <si>
    <t>15. Ganancias y resultados extraordinarios</t>
  </si>
  <si>
    <t>16. Pérdidas y gastos extraordinarios</t>
  </si>
  <si>
    <t>A.4) RESULTADO DE LAS OPERACIONES NO FINANCIERAS (A.3+15+16)</t>
  </si>
  <si>
    <t>17. Ingresos de participaciones en capital e ingresos de otros valores negociables y créditos del act.</t>
  </si>
  <si>
    <t>18. Ingresos financieros y otros intereses e ingresos asimilados</t>
  </si>
  <si>
    <t>19. Gastos financieros y asimilables</t>
  </si>
  <si>
    <t>20. Variación de las provisiones de inversiones financieras</t>
  </si>
  <si>
    <t>21. Diferencias de cambio netas</t>
  </si>
  <si>
    <t>A.5) RESULTADO DE LAS OPERACIONES FINANCIERAS (17+18+19+20+21)</t>
  </si>
  <si>
    <t>22. Resultado del ejercicio procedente de operaciones interrumpidas neto de impuestos</t>
  </si>
  <si>
    <t>A.7) AHORRO / (DESAHORRO) DEL EJERCICIO (A.6+22)</t>
  </si>
  <si>
    <t>I. RESULTADO PRESUPUESTARIO DEL EJERCI. (1+2)</t>
  </si>
  <si>
    <t>II. TOTAL AJUSTES (3+4-5)</t>
  </si>
  <si>
    <r>
      <t xml:space="preserve">1. </t>
    </r>
    <r>
      <rPr>
        <b/>
        <sz val="12"/>
        <rFont val="Times New Roman"/>
        <family val="1"/>
      </rPr>
      <t>(b)</t>
    </r>
    <r>
      <rPr>
        <sz val="12"/>
        <rFont val="Times New Roman"/>
        <family val="1"/>
      </rPr>
      <t xml:space="preserve"> Ejecución del presupuesto de gastos</t>
    </r>
  </si>
  <si>
    <r>
      <t xml:space="preserve">2. </t>
    </r>
    <r>
      <rPr>
        <b/>
        <sz val="12"/>
        <rFont val="Times New Roman"/>
        <family val="1"/>
      </rPr>
      <t>(c)</t>
    </r>
    <r>
      <rPr>
        <sz val="12"/>
        <rFont val="Times New Roman"/>
        <family val="1"/>
      </rPr>
      <t xml:space="preserve"> Realización de los pagos</t>
    </r>
  </si>
  <si>
    <r>
      <t xml:space="preserve">7. </t>
    </r>
    <r>
      <rPr>
        <b/>
        <sz val="12"/>
        <rFont val="Times New Roman"/>
        <family val="1"/>
      </rPr>
      <t>(d)</t>
    </r>
    <r>
      <rPr>
        <sz val="12"/>
        <rFont val="Times New Roman"/>
        <family val="1"/>
      </rPr>
      <t xml:space="preserve"> Ejecución del presupuesto de ingresos</t>
    </r>
  </si>
  <si>
    <r>
      <t xml:space="preserve">8. </t>
    </r>
    <r>
      <rPr>
        <b/>
        <sz val="12"/>
        <rFont val="Times New Roman"/>
        <family val="1"/>
      </rPr>
      <t>(e)</t>
    </r>
    <r>
      <rPr>
        <sz val="12"/>
        <rFont val="Times New Roman"/>
        <family val="1"/>
      </rPr>
      <t xml:space="preserve"> Realización de los cobros</t>
    </r>
  </si>
  <si>
    <t>GASTOS</t>
  </si>
  <si>
    <t>OBLIGACIONES</t>
  </si>
  <si>
    <t>REMANENTE</t>
  </si>
  <si>
    <t>COMPROMETID.</t>
  </si>
  <si>
    <t>RECON. NETAS</t>
  </si>
  <si>
    <t>DE CRÉDITO</t>
  </si>
  <si>
    <t>DERECHOS</t>
  </si>
  <si>
    <t>RECON. NETOS</t>
  </si>
  <si>
    <t>NETA</t>
  </si>
  <si>
    <t>ANULA. Y CANC.</t>
  </si>
  <si>
    <t xml:space="preserve">   5. Edificios y otras construcciones </t>
  </si>
  <si>
    <t>Número de entidades agregadas</t>
  </si>
  <si>
    <t>Número de entidades no agregadas</t>
  </si>
  <si>
    <r>
      <t>FUENTE</t>
    </r>
    <r>
      <rPr>
        <sz val="12"/>
        <rFont val="Times New Roman"/>
        <family val="1"/>
      </rPr>
      <t>: Elaboración propia a partir de las cuentas rendidas que, junto con los informes de auditoría, pueden consultarse en los anexos que, desplegando el año, se</t>
    </r>
  </si>
  <si>
    <t>muestran en el siguiente enlace:</t>
  </si>
  <si>
    <t>http://www.sindicom.gva.es/web/wdweb.nsf/menu/informes</t>
  </si>
  <si>
    <r>
      <t>FUENTE</t>
    </r>
    <r>
      <rPr>
        <sz val="12"/>
        <rFont val="Times New Roman"/>
        <family val="1"/>
      </rPr>
      <t>: Elaboración propia a partir de las cuentas rendidas que, junto con los informes de auditoría, pueden consultarse en los anexos que, desplegando el año, se muestran en el siguiente enlace:</t>
    </r>
  </si>
  <si>
    <t xml:space="preserve"> http://www.sindicom.gva.es/web/wdweb.nsf/menu/informes</t>
  </si>
  <si>
    <t>(a) Incluye en el denominador la totalidad de los gastos (A.2+16+19+20) y en el numerador el epígrafe III acreedores del pasivo del balance.</t>
  </si>
  <si>
    <t>(b) Incluye en el denominador: los gastos (8+9+10+11+13) y en el numerador: Los epígrafes III y IV de E) Acreedores a corto plazo del pasivo.</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</si>
  <si>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</si>
  <si>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</si>
  <si>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</si>
  <si>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</si>
  <si>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</si>
  <si>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</si>
  <si>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</si>
  <si>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</si>
  <si>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</si>
  <si>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</si>
  <si>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</si>
  <si>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Ventas netas y presta. de servicios sobre IGOR</t>
  </si>
  <si>
    <t>5. Resto de IGOR sobre IGOR</t>
  </si>
  <si>
    <t>6. Gastos de personal sobre GGOR</t>
  </si>
  <si>
    <t>7. Transferencias y subvenciones sobre GGOR</t>
  </si>
  <si>
    <t>8. Otros gastos de explotación sobre GGOR</t>
  </si>
  <si>
    <t>9. Aprovisionamientos sobre GGOR</t>
  </si>
  <si>
    <t>10. Resto de GGOR sobre GGOR</t>
  </si>
  <si>
    <t>OTROS INDICADORES Y MAGNITUDES</t>
  </si>
  <si>
    <t>INDICADORES Y MAGNITUDES PRESUPUESTARIAS</t>
  </si>
  <si>
    <r>
      <t>FUENTE</t>
    </r>
    <r>
      <rPr>
        <sz val="12"/>
        <rFont val="Times New Roman"/>
        <family val="1"/>
      </rPr>
      <t>: Elaboración propia a partir de las cuentas rendidas que, junto con los informes de auditoría, pueden consultarse en los anexos que, desplegando el año, se muestran en</t>
    </r>
  </si>
  <si>
    <t>el siguiente enlace:</t>
  </si>
  <si>
    <t>Comité Econòmic i Social</t>
  </si>
  <si>
    <t>A.6) AHORRO / (DESAHORRO) PROCEDENTE DE OPER. CONTINUADAS (A.4+A.5)</t>
  </si>
  <si>
    <t>Generalitat</t>
  </si>
  <si>
    <t xml:space="preserve"> Les Corts y el resto de Instituciones de la Generalitat (incluído el Comité Econòmic i Social)</t>
  </si>
  <si>
    <t>Los estados presentados no son consolidados. La relación de entidades agregadas figura en la hoja del libro "Entidades agregadas". Algunas de las hojas del libro que presentan estados, incluyen la información individual de cada entidad, en columnas ocultas que pueden visualizarse.</t>
  </si>
  <si>
    <t>DE LA CUENTA DE DEL RDO. ECONÓMICO PATRIMONIAL</t>
  </si>
  <si>
    <t>Avales prestados por la Generalitat a Les Corts y al resto de instituciones de la Generalitat</t>
  </si>
  <si>
    <t>Avales prestados por el Instituto Valenciano de Finanzas (IVF) a Les Corts y al resto de Instituciones de la Generalitat</t>
  </si>
  <si>
    <t>Avales prestados indirectamente por la Generalitat, al conceder el IVF operaciones de crédito a Les Corts y al resto de Instituciones de la Generalitat</t>
  </si>
  <si>
    <t xml:space="preserve">PERIODOS MEDIOS DE PAGO </t>
  </si>
  <si>
    <t>V. Fondo de contingencia</t>
  </si>
  <si>
    <t>Fondo de contingencia</t>
  </si>
  <si>
    <t>(a) y (b) Ninguna entidad lo declara</t>
  </si>
  <si>
    <t>Periodo medio de pago de los últimos doce meses (Criterios de la Ley 3/2004) (b)</t>
  </si>
  <si>
    <t>Periodo medio de pago del ejercicio (Criterios del Real Decreto 635/2016) (a)</t>
  </si>
  <si>
    <t>(a) En media de las entidades que lo declaran. Ninguna entidad muestra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</si>
</sst>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quot;€&quot;"/>
    <numFmt numFmtId="165" formatCode="#,##0.00\ &quot;€&quot;"/>
    <numFmt numFmtId="166" formatCode="#,##0.0"/>
    <numFmt numFmtId="167" formatCode="0.0%"/>
    <numFmt numFmtId="168" formatCode="#,##0_);\(#,##0\)"/>
    <numFmt numFmtId="169" formatCode="0_)"/>
    <numFmt numFmtId="170" formatCode="0.0"/>
    <numFmt numFmtId="171" formatCode="#,##0\ &quot;empleados&quot;"/>
    <numFmt numFmtId="172" formatCode="#,##0.0%"/>
    <numFmt numFmtId="173" formatCode="#,##0\ &quot;días&quot;"/>
  </numFmts>
  <fonts count="19">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
      <u/>
      <sz val="12"/>
      <name val="Times New Roman"/>
      <family val="1"/>
    </font>
    <font>
      <sz val="12"/>
      <name val="Arial"/>
      <family val="2"/>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36">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35"/>
      </bottom>
      <diagonal/>
    </border>
    <border>
      <left/>
      <right style="thin">
        <color indexed="64"/>
      </right>
      <top/>
      <bottom style="hair">
        <color indexed="35"/>
      </bottom>
      <diagonal/>
    </border>
    <border>
      <left/>
      <right/>
      <top style="medium">
        <color indexed="64"/>
      </top>
      <bottom style="hair">
        <color indexed="35"/>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auto="1"/>
      </top>
      <bottom style="thin">
        <color auto="1"/>
      </bottom>
      <diagonal/>
    </border>
    <border>
      <left/>
      <right/>
      <top style="thin">
        <color auto="1"/>
      </top>
      <bottom style="medium">
        <color auto="1"/>
      </bottom>
      <diagonal/>
    </border>
  </borders>
  <cellStyleXfs count="6">
    <xf numFmtId="0" fontId="0" fillId="0" borderId="0"/>
    <xf numFmtId="0" fontId="8" fillId="0" borderId="0"/>
    <xf numFmtId="0" fontId="4" fillId="0" borderId="0"/>
    <xf numFmtId="168" fontId="9" fillId="0" borderId="0"/>
    <xf numFmtId="168" fontId="9" fillId="0" borderId="0"/>
    <xf numFmtId="37" fontId="9" fillId="0" borderId="0"/>
  </cellStyleXfs>
  <cellXfs count="251">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8" fontId="10" fillId="2" borderId="0" xfId="3" applyFont="1" applyFill="1" applyAlignment="1" applyProtection="1">
      <alignment horizontal="left"/>
    </xf>
    <xf numFmtId="168" fontId="10" fillId="2" borderId="0" xfId="3" applyFont="1" applyFill="1" applyProtection="1"/>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11" fillId="2" borderId="0" xfId="3" applyFont="1" applyFill="1" applyProtection="1"/>
    <xf numFmtId="168" fontId="10" fillId="2" borderId="1" xfId="3" applyFont="1" applyFill="1" applyBorder="1" applyProtection="1"/>
    <xf numFmtId="168" fontId="11" fillId="2" borderId="1" xfId="3" applyFont="1" applyFill="1" applyBorder="1" applyProtection="1"/>
    <xf numFmtId="168" fontId="5" fillId="2" borderId="1" xfId="3" applyFont="1" applyFill="1" applyBorder="1" applyAlignment="1" applyProtection="1">
      <alignment horizontal="right"/>
    </xf>
    <xf numFmtId="4" fontId="3" fillId="2" borderId="1" xfId="0" applyNumberFormat="1" applyFont="1" applyFill="1" applyBorder="1"/>
    <xf numFmtId="168" fontId="11" fillId="2" borderId="0" xfId="3" applyFont="1" applyFill="1" applyBorder="1" applyProtection="1"/>
    <xf numFmtId="168" fontId="10" fillId="2" borderId="0" xfId="3" applyFont="1" applyFill="1" applyBorder="1" applyProtection="1"/>
    <xf numFmtId="168" fontId="5" fillId="2" borderId="0" xfId="3" applyFont="1" applyFill="1" applyBorder="1" applyAlignment="1" applyProtection="1">
      <alignment horizontal="right"/>
    </xf>
    <xf numFmtId="4" fontId="3" fillId="2" borderId="0" xfId="0" applyNumberFormat="1" applyFont="1" applyFill="1" applyBorder="1"/>
    <xf numFmtId="168" fontId="11" fillId="2" borderId="2" xfId="4" applyFont="1" applyFill="1" applyBorder="1"/>
    <xf numFmtId="168" fontId="11" fillId="2" borderId="2" xfId="4" applyFont="1" applyFill="1" applyBorder="1" applyProtection="1"/>
    <xf numFmtId="168" fontId="11" fillId="2" borderId="0" xfId="4" applyFont="1" applyFill="1" applyBorder="1"/>
    <xf numFmtId="168" fontId="11" fillId="2" borderId="0" xfId="4" applyFont="1" applyFill="1" applyBorder="1" applyProtection="1"/>
    <xf numFmtId="168" fontId="5" fillId="0" borderId="0" xfId="3" applyFont="1" applyFill="1" applyBorder="1" applyAlignment="1" applyProtection="1">
      <alignment horizontal="right"/>
    </xf>
    <xf numFmtId="168" fontId="6" fillId="2" borderId="0" xfId="4" applyFont="1" applyFill="1" applyBorder="1"/>
    <xf numFmtId="168" fontId="10" fillId="2" borderId="0" xfId="4" applyFont="1" applyFill="1" applyBorder="1"/>
    <xf numFmtId="168"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4" fontId="7" fillId="2" borderId="3" xfId="0" applyNumberFormat="1" applyFont="1" applyFill="1" applyBorder="1"/>
    <xf numFmtId="0" fontId="5" fillId="2" borderId="0" xfId="0" applyFont="1" applyFill="1" applyBorder="1"/>
    <xf numFmtId="0" fontId="5" fillId="2" borderId="0" xfId="0" applyFont="1" applyFill="1"/>
    <xf numFmtId="4" fontId="7" fillId="2" borderId="0" xfId="0" applyNumberFormat="1" applyFont="1" applyFill="1" applyBorder="1"/>
    <xf numFmtId="167" fontId="7"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4" fontId="5" fillId="2" borderId="0" xfId="0" applyNumberFormat="1" applyFont="1" applyFill="1" applyBorder="1"/>
    <xf numFmtId="4" fontId="7" fillId="3" borderId="4" xfId="0" applyNumberFormat="1" applyFont="1" applyFill="1" applyBorder="1"/>
    <xf numFmtId="167" fontId="7" fillId="2" borderId="0" xfId="0" applyNumberFormat="1" applyFont="1" applyFill="1" applyBorder="1"/>
    <xf numFmtId="4" fontId="5" fillId="2" borderId="0" xfId="0" applyNumberFormat="1" applyFont="1" applyFill="1"/>
    <xf numFmtId="167"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8" fontId="5" fillId="2" borderId="2" xfId="3" applyFont="1" applyFill="1" applyBorder="1" applyAlignment="1" applyProtection="1">
      <alignment horizontal="right"/>
    </xf>
    <xf numFmtId="168" fontId="5" fillId="2" borderId="0" xfId="3" applyFont="1" applyFill="1" applyProtection="1"/>
    <xf numFmtId="168" fontId="9" fillId="2" borderId="0" xfId="3" applyFill="1"/>
    <xf numFmtId="168" fontId="9" fillId="2" borderId="0" xfId="3" applyFont="1" applyFill="1"/>
    <xf numFmtId="0" fontId="3" fillId="2" borderId="2" xfId="0" applyFont="1" applyFill="1" applyBorder="1"/>
    <xf numFmtId="168" fontId="13" fillId="2" borderId="0" xfId="4" applyFont="1" applyFill="1" applyProtection="1">
      <protection locked="0"/>
    </xf>
    <xf numFmtId="168" fontId="5" fillId="2" borderId="0" xfId="4" applyFont="1" applyFill="1" applyProtection="1"/>
    <xf numFmtId="168"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5" xfId="0" applyFont="1" applyFill="1" applyBorder="1"/>
    <xf numFmtId="4" fontId="7" fillId="2" borderId="5" xfId="0" applyNumberFormat="1" applyFont="1" applyFill="1" applyBorder="1"/>
    <xf numFmtId="0" fontId="5" fillId="2" borderId="5" xfId="0" applyFont="1" applyFill="1" applyBorder="1"/>
    <xf numFmtId="4" fontId="3" fillId="2" borderId="5" xfId="0" applyNumberFormat="1" applyFont="1" applyFill="1" applyBorder="1"/>
    <xf numFmtId="0" fontId="3" fillId="2" borderId="5"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2"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5" fillId="2" borderId="2" xfId="0" applyFont="1" applyFill="1" applyBorder="1"/>
    <xf numFmtId="172" fontId="5" fillId="2" borderId="2" xfId="0" applyNumberFormat="1" applyFont="1" applyFill="1" applyBorder="1" applyAlignment="1">
      <alignment horizontal="right"/>
    </xf>
    <xf numFmtId="165" fontId="7" fillId="2" borderId="0" xfId="0" applyNumberFormat="1" applyFont="1" applyFill="1" applyBorder="1" applyAlignment="1">
      <alignment horizontal="right"/>
    </xf>
    <xf numFmtId="168" fontId="6" fillId="2" borderId="1" xfId="4" applyNumberFormat="1" applyFont="1" applyFill="1" applyBorder="1" applyProtection="1">
      <protection locked="0"/>
    </xf>
    <xf numFmtId="168" fontId="11" fillId="0" borderId="2" xfId="3" applyFont="1" applyFill="1" applyBorder="1" applyAlignment="1" applyProtection="1">
      <alignment horizontal="right"/>
    </xf>
    <xf numFmtId="168" fontId="11" fillId="2" borderId="2" xfId="3" applyFont="1" applyFill="1" applyBorder="1" applyAlignment="1" applyProtection="1">
      <alignment horizontal="right"/>
    </xf>
    <xf numFmtId="168" fontId="11" fillId="2" borderId="2" xfId="3" applyFont="1" applyFill="1" applyBorder="1" applyAlignment="1" applyProtection="1"/>
    <xf numFmtId="168" fontId="10" fillId="2" borderId="0" xfId="4" applyNumberFormat="1" applyFont="1" applyFill="1" applyBorder="1" applyProtection="1">
      <protection locked="0"/>
    </xf>
    <xf numFmtId="168" fontId="6" fillId="3" borderId="1" xfId="4" applyFont="1" applyFill="1" applyBorder="1"/>
    <xf numFmtId="168"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1" fontId="10" fillId="2" borderId="0" xfId="3" applyNumberFormat="1" applyFont="1" applyFill="1" applyAlignment="1" applyProtection="1">
      <alignment horizontal="center"/>
    </xf>
    <xf numFmtId="0" fontId="3" fillId="2" borderId="1" xfId="0" applyFont="1" applyFill="1" applyBorder="1"/>
    <xf numFmtId="169" fontId="14" fillId="2" borderId="0" xfId="4" quotePrefix="1" applyNumberFormat="1" applyFont="1" applyFill="1" applyBorder="1" applyAlignment="1" applyProtection="1">
      <alignment horizontal="right"/>
      <protection locked="0"/>
    </xf>
    <xf numFmtId="0" fontId="0" fillId="0" borderId="2" xfId="0" applyBorder="1"/>
    <xf numFmtId="168" fontId="5" fillId="2" borderId="0" xfId="4" applyFont="1" applyFill="1" applyBorder="1"/>
    <xf numFmtId="168" fontId="5" fillId="2" borderId="0" xfId="4" applyFont="1" applyFill="1" applyBorder="1" applyProtection="1"/>
    <xf numFmtId="168" fontId="5" fillId="2" borderId="0" xfId="4" applyFont="1" applyFill="1" applyBorder="1" applyAlignment="1" applyProtection="1"/>
    <xf numFmtId="169" fontId="13" fillId="2" borderId="0" xfId="4" quotePrefix="1" applyNumberFormat="1" applyFont="1" applyFill="1" applyBorder="1" applyAlignment="1" applyProtection="1">
      <alignment horizontal="center"/>
      <protection locked="0"/>
    </xf>
    <xf numFmtId="168" fontId="3" fillId="2" borderId="0" xfId="3" applyFont="1" applyFill="1" applyProtection="1"/>
    <xf numFmtId="37" fontId="3" fillId="2" borderId="0" xfId="5" applyFont="1" applyFill="1" applyProtection="1"/>
    <xf numFmtId="168" fontId="6" fillId="2" borderId="0" xfId="3" applyFont="1" applyFill="1" applyProtection="1"/>
    <xf numFmtId="4" fontId="2" fillId="2" borderId="0" xfId="3" applyNumberFormat="1" applyFont="1" applyFill="1" applyBorder="1" applyProtection="1"/>
    <xf numFmtId="168" fontId="2" fillId="2" borderId="0" xfId="3" applyNumberFormat="1" applyFont="1" applyFill="1" applyBorder="1" applyProtection="1"/>
    <xf numFmtId="165" fontId="5" fillId="2" borderId="6" xfId="0" applyNumberFormat="1" applyFont="1" applyFill="1" applyBorder="1" applyAlignment="1">
      <alignment horizontal="right"/>
    </xf>
    <xf numFmtId="171" fontId="5" fillId="2" borderId="0" xfId="0" applyNumberFormat="1" applyFont="1" applyFill="1" applyBorder="1" applyAlignment="1">
      <alignment horizontal="right"/>
    </xf>
    <xf numFmtId="0" fontId="0" fillId="2" borderId="2" xfId="0" applyFill="1" applyBorder="1"/>
    <xf numFmtId="0" fontId="5" fillId="4" borderId="4" xfId="0" applyFont="1" applyFill="1" applyBorder="1" applyAlignment="1"/>
    <xf numFmtId="0" fontId="10" fillId="3" borderId="1" xfId="0" applyFont="1" applyFill="1" applyBorder="1" applyAlignment="1">
      <alignment vertical="center" wrapText="1"/>
    </xf>
    <xf numFmtId="165" fontId="5" fillId="2" borderId="3" xfId="0" applyNumberFormat="1" applyFont="1" applyFill="1" applyBorder="1" applyAlignment="1">
      <alignment horizontal="right"/>
    </xf>
    <xf numFmtId="0" fontId="5" fillId="4" borderId="2" xfId="0" applyFont="1" applyFill="1" applyBorder="1" applyAlignment="1"/>
    <xf numFmtId="0" fontId="7" fillId="4" borderId="2" xfId="0" applyFont="1" applyFill="1" applyBorder="1" applyAlignment="1"/>
    <xf numFmtId="171" fontId="5" fillId="2" borderId="2" xfId="0" applyNumberFormat="1" applyFont="1" applyFill="1" applyBorder="1" applyAlignment="1">
      <alignment horizontal="right"/>
    </xf>
    <xf numFmtId="165" fontId="5" fillId="2" borderId="4" xfId="0" applyNumberFormat="1" applyFont="1" applyFill="1" applyBorder="1" applyAlignment="1">
      <alignment horizontal="right"/>
    </xf>
    <xf numFmtId="4" fontId="5" fillId="2" borderId="0" xfId="0" applyNumberFormat="1" applyFont="1" applyFill="1" applyBorder="1" applyProtection="1">
      <protection locked="0"/>
    </xf>
    <xf numFmtId="0" fontId="5" fillId="2" borderId="7" xfId="0" applyFont="1" applyFill="1" applyBorder="1"/>
    <xf numFmtId="4" fontId="7" fillId="2" borderId="0" xfId="0" applyNumberFormat="1" applyFont="1" applyFill="1" applyBorder="1" applyProtection="1">
      <protection locked="0"/>
    </xf>
    <xf numFmtId="168" fontId="7" fillId="2" borderId="0" xfId="3" applyFont="1" applyFill="1" applyProtection="1"/>
    <xf numFmtId="168" fontId="7" fillId="3" borderId="1" xfId="3" applyFont="1" applyFill="1" applyBorder="1" applyAlignment="1" applyProtection="1">
      <alignment horizontal="centerContinuous"/>
    </xf>
    <xf numFmtId="168" fontId="5" fillId="3" borderId="1" xfId="3" applyFont="1" applyFill="1" applyBorder="1" applyAlignment="1" applyProtection="1">
      <alignment horizontal="centerContinuous"/>
    </xf>
    <xf numFmtId="0" fontId="7" fillId="2" borderId="0" xfId="0" applyFont="1" applyFill="1" applyBorder="1" applyAlignment="1">
      <alignment horizontal="left" vertical="center" wrapText="1"/>
    </xf>
    <xf numFmtId="168" fontId="7" fillId="2" borderId="6" xfId="3" applyFont="1" applyFill="1" applyBorder="1" applyAlignment="1" applyProtection="1">
      <alignment horizontal="center"/>
    </xf>
    <xf numFmtId="168" fontId="5" fillId="2" borderId="0" xfId="3" applyFont="1" applyFill="1" applyBorder="1" applyAlignment="1" applyProtection="1">
      <alignment horizontal="center"/>
    </xf>
    <xf numFmtId="4" fontId="5" fillId="2" borderId="0" xfId="3" applyNumberFormat="1" applyFont="1" applyFill="1" applyBorder="1" applyProtection="1">
      <protection locked="0"/>
    </xf>
    <xf numFmtId="4" fontId="5" fillId="2" borderId="7" xfId="3" applyNumberFormat="1" applyFont="1" applyFill="1" applyBorder="1" applyProtection="1">
      <protection locked="0"/>
    </xf>
    <xf numFmtId="170" fontId="5" fillId="2" borderId="0" xfId="3" applyNumberFormat="1" applyFont="1" applyFill="1" applyBorder="1" applyAlignment="1" applyProtection="1">
      <alignment horizontal="right"/>
    </xf>
    <xf numFmtId="4" fontId="7" fillId="3" borderId="4" xfId="3" applyNumberFormat="1" applyFont="1" applyFill="1" applyBorder="1" applyProtection="1">
      <protection locked="0"/>
    </xf>
    <xf numFmtId="170" fontId="7" fillId="3" borderId="4" xfId="3" applyNumberFormat="1" applyFont="1" applyFill="1" applyBorder="1" applyAlignment="1" applyProtection="1">
      <alignment horizontal="right"/>
    </xf>
    <xf numFmtId="168" fontId="7" fillId="2" borderId="0" xfId="3" applyFont="1" applyFill="1" applyBorder="1" applyAlignment="1" applyProtection="1">
      <alignment horizontal="left"/>
    </xf>
    <xf numFmtId="4" fontId="7" fillId="2" borderId="0" xfId="3" applyNumberFormat="1" applyFont="1" applyFill="1" applyBorder="1" applyProtection="1"/>
    <xf numFmtId="4" fontId="7" fillId="2" borderId="7" xfId="3" applyNumberFormat="1" applyFont="1" applyFill="1" applyBorder="1" applyProtection="1"/>
    <xf numFmtId="168" fontId="7" fillId="2" borderId="0" xfId="3" applyNumberFormat="1" applyFont="1" applyFill="1" applyBorder="1" applyProtection="1"/>
    <xf numFmtId="168" fontId="2" fillId="2" borderId="0" xfId="3" applyFont="1" applyFill="1" applyBorder="1" applyAlignment="1" applyProtection="1">
      <alignment horizontal="left"/>
    </xf>
    <xf numFmtId="4" fontId="2" fillId="2" borderId="0" xfId="3" applyNumberFormat="1" applyFont="1" applyFill="1" applyBorder="1" applyProtection="1">
      <protection locked="0"/>
    </xf>
    <xf numFmtId="168" fontId="7" fillId="2" borderId="7" xfId="3" applyFont="1" applyFill="1" applyBorder="1" applyAlignment="1" applyProtection="1">
      <alignment horizontal="center"/>
    </xf>
    <xf numFmtId="168" fontId="7" fillId="3" borderId="1" xfId="3" applyFont="1" applyFill="1" applyBorder="1" applyAlignment="1" applyProtection="1">
      <alignment vertical="justify"/>
    </xf>
    <xf numFmtId="0" fontId="5" fillId="3" borderId="1" xfId="0" applyFont="1" applyFill="1" applyBorder="1"/>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center" vertical="justify"/>
    </xf>
    <xf numFmtId="0" fontId="7" fillId="2" borderId="0" xfId="0" applyFont="1" applyFill="1" applyBorder="1" applyAlignment="1">
      <alignment horizontal="center"/>
    </xf>
    <xf numFmtId="0" fontId="5" fillId="2" borderId="7" xfId="0" applyFont="1" applyFill="1" applyBorder="1" applyAlignment="1">
      <alignment horizontal="center"/>
    </xf>
    <xf numFmtId="0" fontId="5" fillId="2" borderId="3" xfId="0" applyFont="1" applyFill="1" applyBorder="1"/>
    <xf numFmtId="4" fontId="5" fillId="2" borderId="3" xfId="3" applyNumberFormat="1" applyFont="1" applyFill="1" applyBorder="1" applyProtection="1">
      <protection locked="0"/>
    </xf>
    <xf numFmtId="4" fontId="7" fillId="2" borderId="3" xfId="3" applyNumberFormat="1" applyFont="1" applyFill="1" applyBorder="1" applyProtection="1"/>
    <xf numFmtId="0" fontId="15" fillId="2" borderId="0" xfId="0" applyFont="1" applyFill="1" applyBorder="1"/>
    <xf numFmtId="4" fontId="7" fillId="2" borderId="6" xfId="0" applyNumberFormat="1" applyFont="1" applyFill="1" applyBorder="1" applyAlignment="1"/>
    <xf numFmtId="4" fontId="5" fillId="2" borderId="0" xfId="0" applyNumberFormat="1" applyFont="1" applyFill="1" applyBorder="1" applyAlignment="1"/>
    <xf numFmtId="0" fontId="7" fillId="2" borderId="3" xfId="0" applyFont="1" applyFill="1" applyBorder="1" applyAlignment="1"/>
    <xf numFmtId="0" fontId="5" fillId="2" borderId="0" xfId="0" applyFont="1" applyFill="1" applyBorder="1" applyAlignment="1"/>
    <xf numFmtId="4" fontId="7" fillId="2" borderId="7" xfId="3" applyNumberFormat="1" applyFont="1" applyFill="1" applyBorder="1" applyProtection="1">
      <protection locked="0"/>
    </xf>
    <xf numFmtId="4" fontId="7" fillId="3" borderId="4" xfId="3" applyNumberFormat="1" applyFont="1" applyFill="1" applyBorder="1" applyProtection="1"/>
    <xf numFmtId="0" fontId="16" fillId="2" borderId="0" xfId="0" applyFont="1" applyFill="1"/>
    <xf numFmtId="164" fontId="5" fillId="2" borderId="2" xfId="0" applyNumberFormat="1" applyFont="1" applyFill="1" applyBorder="1" applyAlignment="1">
      <alignment horizontal="right"/>
    </xf>
    <xf numFmtId="1" fontId="11" fillId="2" borderId="2" xfId="3" applyNumberFormat="1" applyFont="1" applyFill="1" applyBorder="1" applyAlignment="1" applyProtection="1">
      <alignment horizontal="left"/>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49" fontId="17" fillId="2" borderId="1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0" fontId="3" fillId="2" borderId="16" xfId="0" applyFont="1" applyFill="1" applyBorder="1"/>
    <xf numFmtId="4" fontId="18" fillId="5" borderId="12" xfId="0" applyNumberFormat="1" applyFont="1" applyFill="1" applyBorder="1" applyProtection="1">
      <protection locked="0"/>
    </xf>
    <xf numFmtId="0" fontId="3" fillId="2" borderId="11" xfId="0" applyFont="1" applyFill="1" applyBorder="1"/>
    <xf numFmtId="0" fontId="2" fillId="2" borderId="17" xfId="0" applyFont="1" applyFill="1" applyBorder="1" applyAlignment="1">
      <alignment horizontal="center"/>
    </xf>
    <xf numFmtId="4" fontId="2" fillId="2" borderId="18" xfId="0" applyNumberFormat="1" applyFont="1" applyFill="1" applyBorder="1"/>
    <xf numFmtId="4" fontId="2" fillId="2" borderId="19" xfId="0" applyNumberFormat="1" applyFont="1" applyFill="1" applyBorder="1"/>
    <xf numFmtId="0" fontId="3" fillId="2" borderId="15" xfId="0" applyFont="1" applyFill="1" applyBorder="1"/>
    <xf numFmtId="0" fontId="7" fillId="3" borderId="1" xfId="0" applyFont="1" applyFill="1" applyBorder="1" applyAlignment="1">
      <alignment horizontal="right" vertical="center" wrapText="1"/>
    </xf>
    <xf numFmtId="0" fontId="7" fillId="2" borderId="6" xfId="0" applyFont="1" applyFill="1" applyBorder="1" applyAlignment="1"/>
    <xf numFmtId="4" fontId="7" fillId="2" borderId="6" xfId="0" applyNumberFormat="1" applyFont="1" applyFill="1" applyBorder="1"/>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68" fontId="7" fillId="3" borderId="1" xfId="3" applyFont="1" applyFill="1" applyBorder="1" applyAlignment="1" applyProtection="1"/>
    <xf numFmtId="168" fontId="2" fillId="2" borderId="6" xfId="3" applyFont="1" applyFill="1" applyBorder="1" applyAlignment="1" applyProtection="1">
      <alignment horizontal="center" wrapText="1"/>
    </xf>
    <xf numFmtId="166" fontId="7" fillId="3" borderId="4" xfId="3" applyNumberFormat="1" applyFont="1" applyFill="1" applyBorder="1" applyProtection="1">
      <protection locked="0"/>
    </xf>
    <xf numFmtId="0" fontId="7" fillId="3" borderId="4" xfId="0" applyFont="1" applyFill="1" applyBorder="1" applyAlignment="1"/>
    <xf numFmtId="0" fontId="7" fillId="2" borderId="3" xfId="0" applyFont="1" applyFill="1" applyBorder="1" applyAlignment="1">
      <alignment horizontal="right"/>
    </xf>
    <xf numFmtId="0" fontId="7" fillId="3" borderId="4" xfId="0" applyFont="1" applyFill="1" applyBorder="1" applyAlignment="1">
      <alignment horizontal="right" wrapText="1"/>
    </xf>
    <xf numFmtId="0" fontId="7" fillId="3" borderId="4" xfId="0" applyFont="1" applyFill="1" applyBorder="1" applyAlignment="1">
      <alignment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4" borderId="11" xfId="0" applyFont="1" applyFill="1" applyBorder="1"/>
    <xf numFmtId="0" fontId="3" fillId="4" borderId="11" xfId="0" applyFont="1" applyFill="1" applyBorder="1"/>
    <xf numFmtId="0" fontId="2" fillId="2" borderId="11" xfId="0" applyFont="1" applyFill="1" applyBorder="1" applyAlignment="1">
      <alignment wrapText="1"/>
    </xf>
    <xf numFmtId="0" fontId="2" fillId="2" borderId="17" xfId="0" applyFont="1" applyFill="1" applyBorder="1" applyAlignment="1">
      <alignment wrapText="1"/>
    </xf>
    <xf numFmtId="0" fontId="2" fillId="2" borderId="24" xfId="0" applyFont="1" applyFill="1" applyBorder="1"/>
    <xf numFmtId="0" fontId="3" fillId="2" borderId="25" xfId="0" applyFont="1" applyFill="1" applyBorder="1"/>
    <xf numFmtId="0" fontId="2" fillId="4" borderId="25" xfId="0" applyFont="1" applyFill="1" applyBorder="1"/>
    <xf numFmtId="0" fontId="2" fillId="2" borderId="25" xfId="0" applyFont="1" applyFill="1" applyBorder="1"/>
    <xf numFmtId="0" fontId="2" fillId="2" borderId="26" xfId="0" applyFont="1" applyFill="1" applyBorder="1"/>
    <xf numFmtId="4" fontId="7" fillId="3" borderId="4" xfId="0" applyNumberFormat="1" applyFont="1" applyFill="1" applyBorder="1" applyAlignment="1">
      <alignment wrapText="1"/>
    </xf>
    <xf numFmtId="4" fontId="7" fillId="2" borderId="3" xfId="0" applyNumberFormat="1" applyFont="1" applyFill="1" applyBorder="1" applyAlignment="1"/>
    <xf numFmtId="4" fontId="5" fillId="2" borderId="27" xfId="3" applyNumberFormat="1" applyFont="1" applyFill="1" applyBorder="1" applyProtection="1">
      <protection locked="0"/>
    </xf>
    <xf numFmtId="0" fontId="5" fillId="4" borderId="3" xfId="0" applyFont="1" applyFill="1" applyBorder="1" applyAlignment="1"/>
    <xf numFmtId="0" fontId="5" fillId="4" borderId="7" xfId="0" applyFont="1" applyFill="1" applyBorder="1" applyAlignment="1"/>
    <xf numFmtId="168" fontId="7" fillId="2" borderId="6" xfId="3" applyFont="1" applyFill="1" applyBorder="1" applyAlignment="1" applyProtection="1">
      <alignment horizontal="left"/>
    </xf>
    <xf numFmtId="0" fontId="0" fillId="2" borderId="7" xfId="0" applyFill="1" applyBorder="1"/>
    <xf numFmtId="168" fontId="7" fillId="2" borderId="28" xfId="3" applyFont="1" applyFill="1" applyBorder="1" applyAlignment="1" applyProtection="1"/>
    <xf numFmtId="4" fontId="5" fillId="2" borderId="2" xfId="3" applyNumberFormat="1" applyFont="1" applyFill="1" applyBorder="1" applyProtection="1">
      <protection locked="0"/>
    </xf>
    <xf numFmtId="1" fontId="5" fillId="2" borderId="0" xfId="0" applyNumberFormat="1" applyFont="1" applyFill="1" applyBorder="1" applyAlignment="1" applyProtection="1">
      <alignment horizontal="left"/>
      <protection locked="0"/>
    </xf>
    <xf numFmtId="1" fontId="7" fillId="2" borderId="0" xfId="3" applyNumberFormat="1" applyFont="1" applyFill="1" applyAlignment="1" applyProtection="1">
      <alignment horizontal="right"/>
    </xf>
    <xf numFmtId="168" fontId="7" fillId="3" borderId="1" xfId="4" applyFont="1" applyFill="1" applyBorder="1" applyAlignment="1" applyProtection="1">
      <alignment vertical="center"/>
    </xf>
    <xf numFmtId="0" fontId="7" fillId="3" borderId="1" xfId="0" applyFont="1" applyFill="1" applyBorder="1" applyAlignment="1">
      <alignment horizontal="left" vertical="center" wrapText="1"/>
    </xf>
    <xf numFmtId="0" fontId="5" fillId="4" borderId="6" xfId="0" applyFont="1" applyFill="1" applyBorder="1" applyAlignment="1"/>
    <xf numFmtId="0" fontId="5" fillId="2" borderId="0" xfId="0" applyFont="1" applyFill="1" applyBorder="1" applyAlignment="1">
      <alignment horizontal="left"/>
    </xf>
    <xf numFmtId="0" fontId="7" fillId="2" borderId="34" xfId="0" applyFont="1" applyFill="1" applyBorder="1" applyAlignment="1">
      <alignment horizontal="left"/>
    </xf>
    <xf numFmtId="4" fontId="7" fillId="2" borderId="34" xfId="0" applyNumberFormat="1" applyFont="1" applyFill="1" applyBorder="1"/>
    <xf numFmtId="167" fontId="7" fillId="2" borderId="34" xfId="0" applyNumberFormat="1" applyFont="1" applyFill="1" applyBorder="1" applyAlignment="1">
      <alignment horizontal="right"/>
    </xf>
    <xf numFmtId="0" fontId="7" fillId="2" borderId="34" xfId="0" applyFont="1" applyFill="1" applyBorder="1"/>
    <xf numFmtId="0" fontId="7" fillId="3" borderId="34" xfId="0" applyFont="1" applyFill="1" applyBorder="1"/>
    <xf numFmtId="4" fontId="7" fillId="3" borderId="34" xfId="0" applyNumberFormat="1" applyFont="1" applyFill="1" applyBorder="1"/>
    <xf numFmtId="0" fontId="7" fillId="3" borderId="35" xfId="0" applyFont="1" applyFill="1" applyBorder="1"/>
    <xf numFmtId="4" fontId="7" fillId="3" borderId="35" xfId="0" applyNumberFormat="1" applyFont="1" applyFill="1" applyBorder="1"/>
    <xf numFmtId="0" fontId="7" fillId="3" borderId="35" xfId="0" applyFont="1" applyFill="1" applyBorder="1" applyAlignment="1">
      <alignment horizontal="left"/>
    </xf>
    <xf numFmtId="167" fontId="7" fillId="3" borderId="35" xfId="0" applyNumberFormat="1" applyFont="1" applyFill="1" applyBorder="1" applyAlignment="1">
      <alignment horizontal="right"/>
    </xf>
    <xf numFmtId="0" fontId="5" fillId="2" borderId="0" xfId="0" applyFont="1" applyFill="1" applyBorder="1" applyAlignment="1">
      <alignment horizontal="left"/>
    </xf>
    <xf numFmtId="0" fontId="7" fillId="3" borderId="1" xfId="0" applyFont="1" applyFill="1" applyBorder="1" applyAlignment="1">
      <alignment horizontal="left" vertical="center" wrapText="1"/>
    </xf>
    <xf numFmtId="173" fontId="5" fillId="2" borderId="3" xfId="0" applyNumberFormat="1" applyFont="1" applyFill="1" applyBorder="1" applyAlignment="1">
      <alignment horizontal="right"/>
    </xf>
    <xf numFmtId="173" fontId="5" fillId="2" borderId="6" xfId="0" applyNumberFormat="1" applyFont="1" applyFill="1" applyBorder="1" applyAlignment="1">
      <alignment horizontal="right"/>
    </xf>
    <xf numFmtId="173" fontId="5" fillId="2" borderId="4" xfId="0" applyNumberFormat="1" applyFont="1" applyFill="1" applyBorder="1" applyAlignment="1">
      <alignment horizontal="right"/>
    </xf>
    <xf numFmtId="0" fontId="5" fillId="4" borderId="0" xfId="0" applyFont="1" applyFill="1" applyBorder="1" applyAlignment="1"/>
    <xf numFmtId="173" fontId="5" fillId="2" borderId="0" xfId="0" applyNumberFormat="1" applyFont="1" applyFill="1" applyBorder="1" applyAlignment="1">
      <alignment horizontal="right"/>
    </xf>
    <xf numFmtId="0" fontId="0" fillId="0" borderId="0" xfId="0" applyAlignment="1">
      <alignment shrinkToFit="1"/>
    </xf>
    <xf numFmtId="0" fontId="5" fillId="2" borderId="0" xfId="0" applyFont="1" applyFill="1" applyBorder="1" applyAlignment="1">
      <alignment horizontal="justify" vertical="center" wrapText="1" readingOrder="1"/>
    </xf>
    <xf numFmtId="168" fontId="11" fillId="2" borderId="2" xfId="3" applyFont="1" applyFill="1" applyBorder="1" applyAlignment="1" applyProtection="1">
      <alignment horizontal="right"/>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0" xfId="0" applyFont="1" applyFill="1" applyBorder="1" applyAlignment="1">
      <alignment horizontal="left"/>
    </xf>
    <xf numFmtId="168" fontId="7" fillId="2" borderId="6" xfId="3" applyFont="1" applyFill="1" applyBorder="1" applyAlignment="1" applyProtection="1">
      <alignment horizontal="left"/>
    </xf>
    <xf numFmtId="168" fontId="7" fillId="2" borderId="29" xfId="3" applyFont="1" applyFill="1" applyBorder="1" applyAlignment="1" applyProtection="1">
      <alignment horizontal="center"/>
    </xf>
    <xf numFmtId="168" fontId="7" fillId="2" borderId="6" xfId="3" applyFont="1" applyFill="1" applyBorder="1" applyAlignment="1" applyProtection="1">
      <alignment horizontal="center"/>
    </xf>
    <xf numFmtId="168" fontId="7" fillId="2" borderId="30" xfId="3" applyFont="1" applyFill="1" applyBorder="1" applyAlignment="1" applyProtection="1">
      <alignment horizontal="center"/>
    </xf>
    <xf numFmtId="168" fontId="7" fillId="3" borderId="31" xfId="3" applyFont="1" applyFill="1" applyBorder="1" applyAlignment="1" applyProtection="1">
      <alignment horizontal="left" vertical="center"/>
    </xf>
    <xf numFmtId="168" fontId="7" fillId="3" borderId="4" xfId="3" applyFont="1" applyFill="1" applyBorder="1" applyAlignment="1" applyProtection="1">
      <alignment horizontal="left"/>
    </xf>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left"/>
    </xf>
    <xf numFmtId="0" fontId="7" fillId="2" borderId="3" xfId="0" applyFont="1" applyFill="1" applyBorder="1" applyAlignment="1">
      <alignment horizontal="left"/>
    </xf>
    <xf numFmtId="0" fontId="5" fillId="2" borderId="2" xfId="0" applyFont="1" applyFill="1" applyBorder="1" applyAlignment="1">
      <alignment horizontal="left"/>
    </xf>
    <xf numFmtId="168" fontId="7" fillId="3" borderId="1" xfId="3" applyFont="1" applyFill="1" applyBorder="1" applyAlignment="1" applyProtection="1">
      <alignment horizontal="center"/>
    </xf>
    <xf numFmtId="0" fontId="7" fillId="3" borderId="1" xfId="0" applyFont="1" applyFill="1" applyBorder="1" applyAlignment="1">
      <alignment horizontal="left" vertical="center" wrapText="1"/>
    </xf>
    <xf numFmtId="0" fontId="7" fillId="3" borderId="4" xfId="0" applyFont="1" applyFill="1" applyBorder="1" applyAlignment="1">
      <alignment horizontal="left"/>
    </xf>
    <xf numFmtId="0" fontId="5" fillId="2" borderId="6" xfId="0" applyFont="1" applyFill="1" applyBorder="1" applyAlignment="1">
      <alignment horizontal="left"/>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cellXfs>
  <cellStyles count="6">
    <cellStyle name="No-definido" xfId="1"/>
    <cellStyle name="Normal" xfId="0" builtinId="0"/>
    <cellStyle name="Normal 2" xfId="2"/>
    <cellStyle name="Normal_cuenta 00 AGOST" xfId="3"/>
    <cellStyle name="Normal_cuenta 01 AGOST" xfId="4"/>
    <cellStyle name="Normal_E. de liquidación del presupue."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542925</xdr:colOff>
      <xdr:row>0</xdr:row>
      <xdr:rowOff>685800</xdr:rowOff>
    </xdr:to>
    <xdr:pic>
      <xdr:nvPicPr>
        <xdr:cNvPr id="1051"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38100" y="0"/>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504825</xdr:colOff>
      <xdr:row>0</xdr:row>
      <xdr:rowOff>685800</xdr:rowOff>
    </xdr:to>
    <xdr:pic>
      <xdr:nvPicPr>
        <xdr:cNvPr id="2075"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04825"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504825</xdr:colOff>
      <xdr:row>0</xdr:row>
      <xdr:rowOff>685800</xdr:rowOff>
    </xdr:to>
    <xdr:pic>
      <xdr:nvPicPr>
        <xdr:cNvPr id="3099"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04825" cy="685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276225</xdr:colOff>
      <xdr:row>0</xdr:row>
      <xdr:rowOff>685800</xdr:rowOff>
    </xdr:to>
    <xdr:pic>
      <xdr:nvPicPr>
        <xdr:cNvPr id="6171"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04825" cy="685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76200</xdr:colOff>
      <xdr:row>0</xdr:row>
      <xdr:rowOff>685800</xdr:rowOff>
    </xdr:to>
    <xdr:pic>
      <xdr:nvPicPr>
        <xdr:cNvPr id="4124" name="Picture 2" descr="sello"/>
        <xdr:cNvPicPr>
          <a:picLocks noChangeAspect="1" noChangeArrowheads="1"/>
        </xdr:cNvPicPr>
      </xdr:nvPicPr>
      <xdr:blipFill>
        <a:blip xmlns:r="http://schemas.openxmlformats.org/officeDocument/2006/relationships" r:embed="rId1"/>
        <a:srcRect/>
        <a:stretch>
          <a:fillRect/>
        </a:stretch>
      </xdr:blipFill>
      <xdr:spPr bwMode="auto">
        <a:xfrm>
          <a:off x="9525" y="0"/>
          <a:ext cx="504825"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504825</xdr:colOff>
      <xdr:row>0</xdr:row>
      <xdr:rowOff>685800</xdr:rowOff>
    </xdr:to>
    <xdr:pic>
      <xdr:nvPicPr>
        <xdr:cNvPr id="514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04825"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11200_X100_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09/21502_X100_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09/21503_X100_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09/21504_X100_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11201_X100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11202_X100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6/11203_X100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6/11204_X100_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6/11205_X100_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11206_X100_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09/21500_X100_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09/21501_X110_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36637037.910000004</v>
          </cell>
          <cell r="L3">
            <v>43773542.119999997</v>
          </cell>
        </row>
        <row r="4">
          <cell r="D4">
            <v>383670.5</v>
          </cell>
          <cell r="L4">
            <v>59757133.549999997</v>
          </cell>
        </row>
        <row r="5">
          <cell r="D5">
            <v>0</v>
          </cell>
          <cell r="L5">
            <v>56139836.149999999</v>
          </cell>
        </row>
        <row r="6">
          <cell r="D6">
            <v>0</v>
          </cell>
          <cell r="L6">
            <v>3617297.4</v>
          </cell>
        </row>
        <row r="7">
          <cell r="D7">
            <v>0</v>
          </cell>
          <cell r="L7">
            <v>0</v>
          </cell>
        </row>
        <row r="8">
          <cell r="D8">
            <v>383670.5</v>
          </cell>
          <cell r="L8">
            <v>0</v>
          </cell>
        </row>
        <row r="9">
          <cell r="D9">
            <v>0</v>
          </cell>
          <cell r="L9">
            <v>0</v>
          </cell>
        </row>
        <row r="10">
          <cell r="D10">
            <v>1070279.29</v>
          </cell>
          <cell r="L10">
            <v>0</v>
          </cell>
        </row>
        <row r="11">
          <cell r="D11">
            <v>286593.23</v>
          </cell>
          <cell r="L11">
            <v>0</v>
          </cell>
        </row>
        <row r="12">
          <cell r="D12">
            <v>0</v>
          </cell>
          <cell r="L12">
            <v>-14352418.609999999</v>
          </cell>
        </row>
        <row r="13">
          <cell r="D13">
            <v>1559047.35</v>
          </cell>
          <cell r="L13">
            <v>0</v>
          </cell>
        </row>
        <row r="14">
          <cell r="D14">
            <v>165781.20000000001</v>
          </cell>
          <cell r="L14">
            <v>-14352418.609999999</v>
          </cell>
        </row>
        <row r="15">
          <cell r="D15">
            <v>0</v>
          </cell>
          <cell r="L15">
            <v>-1631172.82</v>
          </cell>
        </row>
        <row r="16">
          <cell r="D16">
            <v>-941142.49</v>
          </cell>
          <cell r="L16">
            <v>0</v>
          </cell>
        </row>
        <row r="17">
          <cell r="D17">
            <v>0</v>
          </cell>
          <cell r="L17">
            <v>0</v>
          </cell>
        </row>
        <row r="18">
          <cell r="D18">
            <v>35106009.660000004</v>
          </cell>
          <cell r="L18">
            <v>0</v>
          </cell>
        </row>
        <row r="19">
          <cell r="D19">
            <v>71566183.790000007</v>
          </cell>
          <cell r="L19">
            <v>0</v>
          </cell>
        </row>
        <row r="20">
          <cell r="D20">
            <v>6441505.21</v>
          </cell>
          <cell r="L20">
            <v>0</v>
          </cell>
        </row>
        <row r="21">
          <cell r="D21">
            <v>3537494.73</v>
          </cell>
          <cell r="L21">
            <v>0</v>
          </cell>
        </row>
        <row r="22">
          <cell r="D22">
            <v>11137534.529999999</v>
          </cell>
          <cell r="L22">
            <v>0</v>
          </cell>
        </row>
        <row r="23">
          <cell r="D23">
            <v>-57576708.600000001</v>
          </cell>
          <cell r="L23">
            <v>0</v>
          </cell>
        </row>
        <row r="24">
          <cell r="D24">
            <v>0</v>
          </cell>
          <cell r="L24">
            <v>0</v>
          </cell>
        </row>
        <row r="25">
          <cell r="D25">
            <v>77078.459999999992</v>
          </cell>
          <cell r="L25">
            <v>0</v>
          </cell>
        </row>
        <row r="26">
          <cell r="D26">
            <v>0</v>
          </cell>
          <cell r="L26">
            <v>0</v>
          </cell>
        </row>
        <row r="27">
          <cell r="D27">
            <v>74970.84</v>
          </cell>
          <cell r="L27">
            <v>0</v>
          </cell>
        </row>
        <row r="28">
          <cell r="D28">
            <v>2107.62</v>
          </cell>
          <cell r="L28">
            <v>0</v>
          </cell>
        </row>
        <row r="29">
          <cell r="D29">
            <v>0</v>
          </cell>
          <cell r="L29">
            <v>0</v>
          </cell>
        </row>
        <row r="30">
          <cell r="D30">
            <v>0</v>
          </cell>
          <cell r="L30">
            <v>1641347.46</v>
          </cell>
        </row>
        <row r="31">
          <cell r="D31">
            <v>8777851.6699999999</v>
          </cell>
          <cell r="L31">
            <v>0</v>
          </cell>
        </row>
        <row r="32">
          <cell r="D32">
            <v>0</v>
          </cell>
          <cell r="L32">
            <v>0</v>
          </cell>
        </row>
        <row r="33">
          <cell r="D33">
            <v>0</v>
          </cell>
          <cell r="L33">
            <v>0</v>
          </cell>
        </row>
        <row r="34">
          <cell r="D34">
            <v>0</v>
          </cell>
          <cell r="L34">
            <v>0</v>
          </cell>
        </row>
        <row r="35">
          <cell r="D35">
            <v>0</v>
          </cell>
          <cell r="L35">
            <v>0</v>
          </cell>
        </row>
        <row r="36">
          <cell r="D36">
            <v>0</v>
          </cell>
          <cell r="L36">
            <v>0.06</v>
          </cell>
        </row>
        <row r="37">
          <cell r="D37">
            <v>0</v>
          </cell>
          <cell r="L37">
            <v>0.06</v>
          </cell>
        </row>
        <row r="38">
          <cell r="D38">
            <v>0</v>
          </cell>
          <cell r="L38">
            <v>0</v>
          </cell>
        </row>
        <row r="39">
          <cell r="D39">
            <v>4652969.0500000007</v>
          </cell>
          <cell r="L39">
            <v>1641347.4</v>
          </cell>
        </row>
        <row r="40">
          <cell r="D40">
            <v>4650966.07</v>
          </cell>
          <cell r="L40">
            <v>194815.56</v>
          </cell>
        </row>
        <row r="41">
          <cell r="D41">
            <v>2002.98</v>
          </cell>
          <cell r="L41">
            <v>497861.56</v>
          </cell>
        </row>
        <row r="42">
          <cell r="D42">
            <v>0</v>
          </cell>
          <cell r="L42">
            <v>0</v>
          </cell>
        </row>
        <row r="43">
          <cell r="D43">
            <v>0</v>
          </cell>
          <cell r="L43">
            <v>891349.03</v>
          </cell>
        </row>
        <row r="44">
          <cell r="D44">
            <v>0</v>
          </cell>
          <cell r="L44">
            <v>0</v>
          </cell>
        </row>
        <row r="45">
          <cell r="D45">
            <v>0</v>
          </cell>
          <cell r="L45">
            <v>57321.25</v>
          </cell>
        </row>
        <row r="46">
          <cell r="D46">
            <v>62807.68</v>
          </cell>
          <cell r="L46">
            <v>0</v>
          </cell>
        </row>
        <row r="47">
          <cell r="D47">
            <v>0</v>
          </cell>
          <cell r="L47">
            <v>0</v>
          </cell>
        </row>
        <row r="48">
          <cell r="D48">
            <v>62807.68</v>
          </cell>
          <cell r="L48">
            <v>0</v>
          </cell>
        </row>
        <row r="49">
          <cell r="D49">
            <v>0</v>
          </cell>
          <cell r="L49">
            <v>45414889.579999998</v>
          </cell>
        </row>
        <row r="50">
          <cell r="D50">
            <v>0</v>
          </cell>
        </row>
        <row r="51">
          <cell r="D51">
            <v>4034550.86</v>
          </cell>
        </row>
        <row r="52">
          <cell r="D52">
            <v>27524.080000000002</v>
          </cell>
        </row>
        <row r="53">
          <cell r="D53">
            <v>45414889.580000006</v>
          </cell>
        </row>
      </sheetData>
      <sheetData sheetId="2">
        <row r="5">
          <cell r="D5">
            <v>15609452.32</v>
          </cell>
          <cell r="L5">
            <v>0</v>
          </cell>
        </row>
        <row r="6">
          <cell r="D6">
            <v>12809001.130000001</v>
          </cell>
          <cell r="L6">
            <v>0</v>
          </cell>
        </row>
        <row r="7">
          <cell r="D7">
            <v>2800451.19</v>
          </cell>
          <cell r="L7">
            <v>0</v>
          </cell>
        </row>
        <row r="8">
          <cell r="D8">
            <v>0</v>
          </cell>
          <cell r="L8">
            <v>0</v>
          </cell>
        </row>
        <row r="9">
          <cell r="D9">
            <v>3561124.22</v>
          </cell>
          <cell r="L9">
            <v>0</v>
          </cell>
        </row>
        <row r="10">
          <cell r="D10">
            <v>0</v>
          </cell>
          <cell r="L10">
            <v>0</v>
          </cell>
        </row>
        <row r="11">
          <cell r="L11">
            <v>0</v>
          </cell>
        </row>
        <row r="12">
          <cell r="D12">
            <v>3954266.23</v>
          </cell>
          <cell r="L12">
            <v>0</v>
          </cell>
        </row>
        <row r="13">
          <cell r="D13">
            <v>3954266.23</v>
          </cell>
          <cell r="L13">
            <v>0</v>
          </cell>
        </row>
        <row r="14">
          <cell r="D14">
            <v>0</v>
          </cell>
          <cell r="L14">
            <v>0</v>
          </cell>
        </row>
        <row r="15">
          <cell r="D15">
            <v>0</v>
          </cell>
          <cell r="L15">
            <v>0</v>
          </cell>
        </row>
        <row r="16">
          <cell r="D16">
            <v>1066.9100000000001</v>
          </cell>
          <cell r="L16">
            <v>0</v>
          </cell>
        </row>
        <row r="17">
          <cell r="L17">
            <v>0</v>
          </cell>
        </row>
        <row r="18">
          <cell r="L18">
            <v>0</v>
          </cell>
        </row>
        <row r="19">
          <cell r="D19">
            <v>0</v>
          </cell>
          <cell r="L19">
            <v>0</v>
          </cell>
        </row>
        <row r="20">
          <cell r="D20">
            <v>0</v>
          </cell>
          <cell r="L20">
            <v>0</v>
          </cell>
        </row>
        <row r="22">
          <cell r="D22">
            <v>3701690.8</v>
          </cell>
        </row>
        <row r="23">
          <cell r="D23">
            <v>0</v>
          </cell>
        </row>
        <row r="24">
          <cell r="D24">
            <v>0</v>
          </cell>
          <cell r="L24">
            <v>0</v>
          </cell>
        </row>
        <row r="25">
          <cell r="D25">
            <v>0</v>
          </cell>
          <cell r="L25">
            <v>0</v>
          </cell>
        </row>
        <row r="26">
          <cell r="D26">
            <v>2876228.17</v>
          </cell>
          <cell r="L26">
            <v>69748.160000000003</v>
          </cell>
        </row>
        <row r="27">
          <cell r="D27">
            <v>0</v>
          </cell>
          <cell r="L27">
            <v>69748.160000000003</v>
          </cell>
        </row>
        <row r="28">
          <cell r="D28">
            <v>0</v>
          </cell>
          <cell r="L28">
            <v>0</v>
          </cell>
        </row>
        <row r="29">
          <cell r="D29">
            <v>0</v>
          </cell>
          <cell r="L29">
            <v>0</v>
          </cell>
        </row>
        <row r="30">
          <cell r="D30">
            <v>2876228.17</v>
          </cell>
          <cell r="L30">
            <v>0</v>
          </cell>
        </row>
        <row r="31">
          <cell r="L31">
            <v>67.67</v>
          </cell>
        </row>
        <row r="34">
          <cell r="L34">
            <v>0</v>
          </cell>
        </row>
        <row r="36">
          <cell r="L36">
            <v>27342240</v>
          </cell>
        </row>
        <row r="37">
          <cell r="L37">
            <v>0</v>
          </cell>
        </row>
        <row r="38">
          <cell r="L38">
            <v>660600</v>
          </cell>
        </row>
        <row r="39">
          <cell r="L39">
            <v>0</v>
          </cell>
        </row>
        <row r="40">
          <cell r="L40">
            <v>0</v>
          </cell>
        </row>
        <row r="41">
          <cell r="L41">
            <v>0</v>
          </cell>
        </row>
        <row r="42">
          <cell r="L42">
            <v>0</v>
          </cell>
        </row>
        <row r="43">
          <cell r="L43">
            <v>0</v>
          </cell>
        </row>
        <row r="44">
          <cell r="L44">
            <v>0</v>
          </cell>
        </row>
      </sheetData>
      <sheetData sheetId="3"/>
      <sheetData sheetId="4">
        <row r="5">
          <cell r="D5">
            <v>18030297.719999999</v>
          </cell>
          <cell r="E5">
            <v>221827.6</v>
          </cell>
          <cell r="F5">
            <v>18252125.32</v>
          </cell>
          <cell r="G5">
            <v>15586958.85</v>
          </cell>
          <cell r="H5">
            <v>15573927.189999999</v>
          </cell>
          <cell r="I5">
            <v>2678198.1300000008</v>
          </cell>
          <cell r="J5">
            <v>15571767.189999999</v>
          </cell>
          <cell r="K5">
            <v>2160</v>
          </cell>
        </row>
        <row r="6">
          <cell r="D6">
            <v>5216348.4400000004</v>
          </cell>
          <cell r="E6">
            <v>857763.04</v>
          </cell>
          <cell r="F6">
            <v>6074111.4800000004</v>
          </cell>
          <cell r="G6">
            <v>4444094.5999999996</v>
          </cell>
          <cell r="H6">
            <v>4090546.79</v>
          </cell>
          <cell r="I6">
            <v>1983564.6900000004</v>
          </cell>
          <cell r="J6">
            <v>3910226.81</v>
          </cell>
          <cell r="K6">
            <v>180319.97999999998</v>
          </cell>
        </row>
        <row r="7">
          <cell r="D7">
            <v>141000</v>
          </cell>
          <cell r="E7">
            <v>0</v>
          </cell>
          <cell r="F7">
            <v>141000</v>
          </cell>
          <cell r="G7">
            <v>1066.9100000000001</v>
          </cell>
          <cell r="H7">
            <v>1066.9100000000001</v>
          </cell>
          <cell r="I7">
            <v>139933.09</v>
          </cell>
          <cell r="J7">
            <v>1066.9100000000001</v>
          </cell>
          <cell r="K7">
            <v>0</v>
          </cell>
        </row>
        <row r="8">
          <cell r="D8">
            <v>3954584.44</v>
          </cell>
          <cell r="E8">
            <v>82370.12</v>
          </cell>
          <cell r="F8">
            <v>4036954.56</v>
          </cell>
          <cell r="G8">
            <v>3742540.24</v>
          </cell>
          <cell r="H8">
            <v>3701690.8</v>
          </cell>
          <cell r="I8">
            <v>335263.76000000024</v>
          </cell>
          <cell r="J8">
            <v>3701690.8</v>
          </cell>
          <cell r="K8">
            <v>0</v>
          </cell>
        </row>
        <row r="9">
          <cell r="D9">
            <v>0</v>
          </cell>
          <cell r="E9">
            <v>0</v>
          </cell>
          <cell r="F9">
            <v>0</v>
          </cell>
          <cell r="G9">
            <v>0</v>
          </cell>
          <cell r="H9">
            <v>0</v>
          </cell>
          <cell r="I9">
            <v>0</v>
          </cell>
          <cell r="J9">
            <v>0</v>
          </cell>
          <cell r="K9">
            <v>0</v>
          </cell>
        </row>
        <row r="10">
          <cell r="D10">
            <v>636600</v>
          </cell>
          <cell r="E10">
            <v>2287010.67</v>
          </cell>
          <cell r="F10">
            <v>2923610.67</v>
          </cell>
          <cell r="G10">
            <v>1446667.49</v>
          </cell>
          <cell r="H10">
            <v>1247803.57</v>
          </cell>
          <cell r="I10">
            <v>1675807.0999999999</v>
          </cell>
          <cell r="J10">
            <v>1235627.78</v>
          </cell>
          <cell r="K10">
            <v>12175.790000000037</v>
          </cell>
        </row>
        <row r="11">
          <cell r="D11">
            <v>0</v>
          </cell>
          <cell r="E11">
            <v>0</v>
          </cell>
          <cell r="F11">
            <v>0</v>
          </cell>
          <cell r="G11">
            <v>0</v>
          </cell>
          <cell r="H11">
            <v>0</v>
          </cell>
          <cell r="I11">
            <v>0</v>
          </cell>
          <cell r="J11">
            <v>0</v>
          </cell>
          <cell r="K11">
            <v>0</v>
          </cell>
        </row>
        <row r="12">
          <cell r="D12">
            <v>24000</v>
          </cell>
          <cell r="E12">
            <v>66360.92</v>
          </cell>
          <cell r="F12">
            <v>90360.92</v>
          </cell>
          <cell r="G12">
            <v>49206.1</v>
          </cell>
          <cell r="H12">
            <v>49206.1</v>
          </cell>
          <cell r="I12">
            <v>41154.82</v>
          </cell>
          <cell r="J12">
            <v>49206.1</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54688.639999999999</v>
          </cell>
          <cell r="H22">
            <v>52033.08</v>
          </cell>
          <cell r="I22">
            <v>0</v>
          </cell>
          <cell r="J22">
            <v>2655.5599999999977</v>
          </cell>
        </row>
        <row r="23">
          <cell r="D23">
            <v>27342230.600000001</v>
          </cell>
          <cell r="E23">
            <v>0</v>
          </cell>
          <cell r="F23">
            <v>27342230.600000001</v>
          </cell>
          <cell r="G23">
            <v>27342240</v>
          </cell>
          <cell r="H23">
            <v>22925563.550000001</v>
          </cell>
          <cell r="I23">
            <v>0</v>
          </cell>
          <cell r="J23">
            <v>4416676.4499999993</v>
          </cell>
        </row>
        <row r="24">
          <cell r="D24">
            <v>0</v>
          </cell>
          <cell r="E24">
            <v>0</v>
          </cell>
          <cell r="F24">
            <v>0</v>
          </cell>
          <cell r="G24">
            <v>15127.19</v>
          </cell>
          <cell r="H24">
            <v>8673.11</v>
          </cell>
          <cell r="I24">
            <v>0</v>
          </cell>
          <cell r="J24">
            <v>6454.08</v>
          </cell>
        </row>
        <row r="25">
          <cell r="D25">
            <v>0</v>
          </cell>
          <cell r="E25">
            <v>0</v>
          </cell>
          <cell r="F25">
            <v>0</v>
          </cell>
          <cell r="G25">
            <v>0</v>
          </cell>
          <cell r="H25">
            <v>0</v>
          </cell>
          <cell r="I25">
            <v>0</v>
          </cell>
          <cell r="J25">
            <v>0</v>
          </cell>
        </row>
        <row r="26">
          <cell r="D26">
            <v>660600</v>
          </cell>
          <cell r="E26">
            <v>0</v>
          </cell>
          <cell r="F26">
            <v>660600</v>
          </cell>
          <cell r="G26">
            <v>660600</v>
          </cell>
          <cell r="H26">
            <v>440400</v>
          </cell>
          <cell r="I26">
            <v>0</v>
          </cell>
          <cell r="J26">
            <v>220200</v>
          </cell>
        </row>
        <row r="27">
          <cell r="D27">
            <v>0</v>
          </cell>
          <cell r="E27">
            <v>3515332.35</v>
          </cell>
          <cell r="F27">
            <v>3515332.35</v>
          </cell>
          <cell r="G27">
            <v>78086.89</v>
          </cell>
          <cell r="H27">
            <v>78086.89</v>
          </cell>
          <cell r="I27">
            <v>0</v>
          </cell>
          <cell r="J27">
            <v>0</v>
          </cell>
        </row>
        <row r="28">
          <cell r="D28">
            <v>0</v>
          </cell>
          <cell r="E28">
            <v>0</v>
          </cell>
          <cell r="F28">
            <v>0</v>
          </cell>
          <cell r="G28">
            <v>0</v>
          </cell>
          <cell r="H28">
            <v>0</v>
          </cell>
          <cell r="I28">
            <v>0</v>
          </cell>
          <cell r="J28">
            <v>0</v>
          </cell>
        </row>
      </sheetData>
      <sheetData sheetId="5">
        <row r="5">
          <cell r="D5">
            <v>78086.89</v>
          </cell>
          <cell r="E5">
            <v>49206.1</v>
          </cell>
        </row>
        <row r="6">
          <cell r="D6">
            <v>0</v>
          </cell>
          <cell r="E6">
            <v>0</v>
          </cell>
        </row>
        <row r="8">
          <cell r="D8">
            <v>0</v>
          </cell>
          <cell r="E8">
            <v>0</v>
          </cell>
        </row>
        <row r="10">
          <cell r="F10">
            <v>1514944.78</v>
          </cell>
        </row>
        <row r="11">
          <cell r="F11">
            <v>0</v>
          </cell>
        </row>
        <row r="12">
          <cell r="F12">
            <v>0</v>
          </cell>
        </row>
      </sheetData>
      <sheetData sheetId="6">
        <row r="3">
          <cell r="D3">
            <v>4652969.0500000007</v>
          </cell>
        </row>
        <row r="4">
          <cell r="D4">
            <v>4645986.09</v>
          </cell>
        </row>
        <row r="5">
          <cell r="D5">
            <v>4979.9799999999996</v>
          </cell>
        </row>
        <row r="6">
          <cell r="D6">
            <v>2002.98</v>
          </cell>
        </row>
        <row r="7">
          <cell r="D7">
            <v>0</v>
          </cell>
        </row>
        <row r="8">
          <cell r="D8">
            <v>0</v>
          </cell>
        </row>
        <row r="9">
          <cell r="D9">
            <v>0</v>
          </cell>
        </row>
        <row r="10">
          <cell r="D10">
            <v>1156632.81</v>
          </cell>
        </row>
        <row r="11">
          <cell r="D11">
            <v>194655.77</v>
          </cell>
        </row>
        <row r="12">
          <cell r="D12">
            <v>159.79</v>
          </cell>
        </row>
        <row r="13">
          <cell r="D13">
            <v>961817.25</v>
          </cell>
        </row>
        <row r="14">
          <cell r="D14">
            <v>0</v>
          </cell>
        </row>
        <row r="15">
          <cell r="D15">
            <v>0</v>
          </cell>
        </row>
        <row r="16">
          <cell r="D16">
            <v>4034550.86</v>
          </cell>
        </row>
        <row r="17">
          <cell r="D17">
            <v>0</v>
          </cell>
        </row>
        <row r="18">
          <cell r="D18">
            <v>7530887.0999999996</v>
          </cell>
        </row>
        <row r="19">
          <cell r="D19">
            <v>7530887.1000000006</v>
          </cell>
        </row>
        <row r="23">
          <cell r="D23">
            <v>37862022.960000001</v>
          </cell>
        </row>
        <row r="24">
          <cell r="D24">
            <v>23504756.629999999</v>
          </cell>
        </row>
        <row r="25">
          <cell r="D25">
            <v>8396810.6400000006</v>
          </cell>
        </row>
        <row r="26">
          <cell r="D26">
            <v>5960455.6900000004</v>
          </cell>
        </row>
        <row r="27">
          <cell r="D27">
            <v>0</v>
          </cell>
        </row>
        <row r="28">
          <cell r="D28">
            <v>36161687.93</v>
          </cell>
        </row>
        <row r="29">
          <cell r="D29">
            <v>24469585.59</v>
          </cell>
        </row>
        <row r="30">
          <cell r="D30">
            <v>147222.04</v>
          </cell>
        </row>
        <row r="31">
          <cell r="D31">
            <v>11544880.300000001</v>
          </cell>
        </row>
        <row r="32">
          <cell r="D32">
            <v>0</v>
          </cell>
        </row>
        <row r="33">
          <cell r="D33">
            <v>1700335.0300000012</v>
          </cell>
        </row>
        <row r="34">
          <cell r="D34">
            <v>2334215.83</v>
          </cell>
        </row>
        <row r="35">
          <cell r="D35">
            <v>4034550.8600000013</v>
          </cell>
        </row>
      </sheetData>
      <sheetData sheetId="7">
        <row r="5">
          <cell r="D5">
            <v>1500.4</v>
          </cell>
          <cell r="E5">
            <v>0</v>
          </cell>
          <cell r="F5">
            <v>1500.4</v>
          </cell>
          <cell r="G5">
            <v>1500.4</v>
          </cell>
          <cell r="H5">
            <v>0</v>
          </cell>
        </row>
        <row r="6">
          <cell r="D6">
            <v>140980.79</v>
          </cell>
          <cell r="E6">
            <v>0</v>
          </cell>
          <cell r="F6">
            <v>140980.79</v>
          </cell>
          <cell r="G6">
            <v>140821</v>
          </cell>
          <cell r="H6">
            <v>159.79000000000815</v>
          </cell>
        </row>
        <row r="7">
          <cell r="D7">
            <v>0</v>
          </cell>
          <cell r="E7">
            <v>0</v>
          </cell>
          <cell r="F7">
            <v>0</v>
          </cell>
          <cell r="G7">
            <v>0</v>
          </cell>
          <cell r="H7">
            <v>0</v>
          </cell>
        </row>
        <row r="8">
          <cell r="D8">
            <v>2078.4499999999998</v>
          </cell>
          <cell r="E8">
            <v>0</v>
          </cell>
          <cell r="F8">
            <v>2078.4499999999998</v>
          </cell>
          <cell r="G8">
            <v>2078.4499999999998</v>
          </cell>
          <cell r="H8">
            <v>0</v>
          </cell>
        </row>
        <row r="9">
          <cell r="D9">
            <v>2822.19</v>
          </cell>
          <cell r="E9">
            <v>0</v>
          </cell>
          <cell r="F9">
            <v>2822.19</v>
          </cell>
          <cell r="G9">
            <v>2822.19</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31721.23</v>
          </cell>
          <cell r="E21">
            <v>-28892.61</v>
          </cell>
          <cell r="F21">
            <v>0</v>
          </cell>
          <cell r="G21">
            <v>0</v>
          </cell>
          <cell r="H21">
            <v>2828.619999999999</v>
          </cell>
          <cell r="I21">
            <v>0</v>
          </cell>
          <cell r="J21">
            <v>0</v>
          </cell>
          <cell r="K21">
            <v>0</v>
          </cell>
          <cell r="L21">
            <v>2828.619999999999</v>
          </cell>
        </row>
        <row r="22">
          <cell r="D22">
            <v>10922294.84</v>
          </cell>
          <cell r="E22">
            <v>-2847334.5700000003</v>
          </cell>
          <cell r="F22">
            <v>0</v>
          </cell>
          <cell r="G22">
            <v>0</v>
          </cell>
          <cell r="H22">
            <v>8074960.2699999996</v>
          </cell>
          <cell r="I22">
            <v>8074960.2699999996</v>
          </cell>
          <cell r="J22">
            <v>0</v>
          </cell>
          <cell r="K22">
            <v>0</v>
          </cell>
          <cell r="L22">
            <v>0</v>
          </cell>
        </row>
        <row r="23">
          <cell r="D23">
            <v>4302.7199999999975</v>
          </cell>
          <cell r="E23">
            <v>0</v>
          </cell>
          <cell r="F23">
            <v>0</v>
          </cell>
          <cell r="G23">
            <v>0</v>
          </cell>
          <cell r="H23">
            <v>4302.7199999999975</v>
          </cell>
          <cell r="I23">
            <v>2151.36</v>
          </cell>
          <cell r="J23">
            <v>0</v>
          </cell>
          <cell r="K23">
            <v>0</v>
          </cell>
          <cell r="L23">
            <v>2151.3599999999974</v>
          </cell>
        </row>
        <row r="24">
          <cell r="D24">
            <v>0</v>
          </cell>
          <cell r="E24">
            <v>0</v>
          </cell>
          <cell r="F24">
            <v>0</v>
          </cell>
          <cell r="G24">
            <v>0</v>
          </cell>
          <cell r="H24">
            <v>0</v>
          </cell>
          <cell r="I24">
            <v>0</v>
          </cell>
          <cell r="J24">
            <v>0</v>
          </cell>
          <cell r="K24">
            <v>0</v>
          </cell>
          <cell r="L24">
            <v>0</v>
          </cell>
        </row>
        <row r="25">
          <cell r="D25">
            <v>319700</v>
          </cell>
          <cell r="E25">
            <v>-0.99</v>
          </cell>
          <cell r="F25">
            <v>0</v>
          </cell>
          <cell r="G25">
            <v>0</v>
          </cell>
          <cell r="H25">
            <v>319699.01</v>
          </cell>
          <cell r="I25">
            <v>319699.01</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260</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8100"/>
    </sheetNames>
    <sheetDataSet>
      <sheetData sheetId="0"/>
      <sheetData sheetId="1"/>
      <sheetData sheetId="2"/>
      <sheetData sheetId="3"/>
      <sheetData sheetId="4"/>
      <sheetData sheetId="5">
        <row r="5">
          <cell r="E5">
            <v>0</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8100"/>
    </sheetNames>
    <sheetDataSet>
      <sheetData sheetId="0"/>
      <sheetData sheetId="1"/>
      <sheetData sheetId="2"/>
      <sheetData sheetId="3"/>
      <sheetData sheetId="4"/>
      <sheetData sheetId="5">
        <row r="5">
          <cell r="E5">
            <v>0</v>
          </cell>
        </row>
      </sheetData>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8100"/>
    </sheetNames>
    <sheetDataSet>
      <sheetData sheetId="0"/>
      <sheetData sheetId="1"/>
      <sheetData sheetId="2"/>
      <sheetData sheetId="3"/>
      <sheetData sheetId="4"/>
      <sheetData sheetId="5">
        <row r="5">
          <cell r="E5">
            <v>0</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4717342.0399999991</v>
          </cell>
          <cell r="L3">
            <v>6156430.8399999989</v>
          </cell>
        </row>
        <row r="4">
          <cell r="D4">
            <v>5609.71</v>
          </cell>
          <cell r="L4">
            <v>5941163.7699999996</v>
          </cell>
        </row>
        <row r="5">
          <cell r="D5">
            <v>0</v>
          </cell>
          <cell r="L5">
            <v>0</v>
          </cell>
        </row>
        <row r="6">
          <cell r="D6">
            <v>0</v>
          </cell>
          <cell r="L6">
            <v>5941163.7699999996</v>
          </cell>
        </row>
        <row r="7">
          <cell r="D7">
            <v>0</v>
          </cell>
          <cell r="L7">
            <v>0</v>
          </cell>
        </row>
        <row r="8">
          <cell r="D8">
            <v>5609.71</v>
          </cell>
          <cell r="L8">
            <v>0</v>
          </cell>
        </row>
        <row r="9">
          <cell r="D9">
            <v>0</v>
          </cell>
          <cell r="L9">
            <v>0</v>
          </cell>
        </row>
        <row r="10">
          <cell r="D10">
            <v>16262.539999999979</v>
          </cell>
          <cell r="L10">
            <v>0</v>
          </cell>
        </row>
        <row r="11">
          <cell r="D11">
            <v>0</v>
          </cell>
          <cell r="L11">
            <v>0</v>
          </cell>
        </row>
        <row r="12">
          <cell r="D12">
            <v>0</v>
          </cell>
          <cell r="L12">
            <v>-93592.24</v>
          </cell>
        </row>
        <row r="13">
          <cell r="D13">
            <v>280613.37</v>
          </cell>
          <cell r="L13">
            <v>0</v>
          </cell>
        </row>
        <row r="14">
          <cell r="D14">
            <v>0</v>
          </cell>
          <cell r="L14">
            <v>-93592.24</v>
          </cell>
        </row>
        <row r="15">
          <cell r="D15">
            <v>0</v>
          </cell>
          <cell r="L15">
            <v>308859.31</v>
          </cell>
        </row>
        <row r="16">
          <cell r="D16">
            <v>-264350.83</v>
          </cell>
          <cell r="L16">
            <v>0</v>
          </cell>
        </row>
        <row r="17">
          <cell r="D17">
            <v>0</v>
          </cell>
          <cell r="L17">
            <v>0</v>
          </cell>
        </row>
        <row r="18">
          <cell r="D18">
            <v>4694869.7899999991</v>
          </cell>
          <cell r="L18">
            <v>0</v>
          </cell>
        </row>
        <row r="19">
          <cell r="D19">
            <v>4752888.8899999997</v>
          </cell>
          <cell r="L19">
            <v>0</v>
          </cell>
        </row>
        <row r="20">
          <cell r="D20">
            <v>1062770.8999999999</v>
          </cell>
          <cell r="L20">
            <v>0</v>
          </cell>
        </row>
        <row r="21">
          <cell r="D21">
            <v>624156.14</v>
          </cell>
          <cell r="L21">
            <v>0</v>
          </cell>
        </row>
        <row r="22">
          <cell r="D22">
            <v>403316.32</v>
          </cell>
          <cell r="L22">
            <v>0</v>
          </cell>
        </row>
        <row r="23">
          <cell r="D23">
            <v>-2148262.46</v>
          </cell>
          <cell r="L23">
            <v>0</v>
          </cell>
        </row>
        <row r="24">
          <cell r="D24">
            <v>0</v>
          </cell>
          <cell r="L24">
            <v>0</v>
          </cell>
        </row>
        <row r="25">
          <cell r="D25">
            <v>600</v>
          </cell>
          <cell r="L25">
            <v>0</v>
          </cell>
        </row>
        <row r="26">
          <cell r="D26">
            <v>0</v>
          </cell>
          <cell r="L26">
            <v>0</v>
          </cell>
        </row>
        <row r="27">
          <cell r="D27">
            <v>600</v>
          </cell>
          <cell r="L27">
            <v>0</v>
          </cell>
        </row>
        <row r="28">
          <cell r="D28">
            <v>0</v>
          </cell>
          <cell r="L28">
            <v>0</v>
          </cell>
        </row>
        <row r="29">
          <cell r="D29">
            <v>0</v>
          </cell>
          <cell r="L29">
            <v>0</v>
          </cell>
        </row>
        <row r="30">
          <cell r="D30">
            <v>0</v>
          </cell>
          <cell r="L30">
            <v>1608861.71</v>
          </cell>
        </row>
        <row r="31">
          <cell r="D31">
            <v>3047950.51</v>
          </cell>
          <cell r="L31">
            <v>0</v>
          </cell>
        </row>
        <row r="32">
          <cell r="D32">
            <v>0</v>
          </cell>
          <cell r="L32">
            <v>0</v>
          </cell>
        </row>
        <row r="33">
          <cell r="D33">
            <v>0</v>
          </cell>
          <cell r="L33">
            <v>0</v>
          </cell>
        </row>
        <row r="34">
          <cell r="D34">
            <v>0</v>
          </cell>
          <cell r="L34">
            <v>0</v>
          </cell>
        </row>
        <row r="35">
          <cell r="D35">
            <v>0</v>
          </cell>
          <cell r="L35">
            <v>0</v>
          </cell>
        </row>
        <row r="36">
          <cell r="D36">
            <v>0</v>
          </cell>
          <cell r="L36">
            <v>1206830.02</v>
          </cell>
        </row>
        <row r="37">
          <cell r="D37">
            <v>0</v>
          </cell>
          <cell r="L37">
            <v>1206830.02</v>
          </cell>
        </row>
        <row r="38">
          <cell r="D38">
            <v>0</v>
          </cell>
          <cell r="L38">
            <v>0</v>
          </cell>
        </row>
        <row r="39">
          <cell r="D39">
            <v>1917791.02</v>
          </cell>
          <cell r="L39">
            <v>402031.69</v>
          </cell>
        </row>
        <row r="40">
          <cell r="D40">
            <v>1917791.02</v>
          </cell>
          <cell r="L40">
            <v>54350.61</v>
          </cell>
        </row>
        <row r="41">
          <cell r="D41">
            <v>0</v>
          </cell>
          <cell r="L41">
            <v>59762.43</v>
          </cell>
        </row>
        <row r="42">
          <cell r="D42">
            <v>0</v>
          </cell>
          <cell r="L42">
            <v>0</v>
          </cell>
        </row>
        <row r="43">
          <cell r="D43">
            <v>0</v>
          </cell>
          <cell r="L43">
            <v>281669.59999999998</v>
          </cell>
        </row>
        <row r="44">
          <cell r="D44">
            <v>0</v>
          </cell>
          <cell r="L44">
            <v>0</v>
          </cell>
        </row>
        <row r="45">
          <cell r="D45">
            <v>0</v>
          </cell>
          <cell r="L45">
            <v>6249.05</v>
          </cell>
        </row>
        <row r="46">
          <cell r="D46">
            <v>5150.37</v>
          </cell>
          <cell r="L46">
            <v>0</v>
          </cell>
        </row>
        <row r="47">
          <cell r="D47">
            <v>0</v>
          </cell>
          <cell r="L47">
            <v>0</v>
          </cell>
        </row>
        <row r="48">
          <cell r="D48">
            <v>5150.37</v>
          </cell>
          <cell r="L48">
            <v>0</v>
          </cell>
        </row>
        <row r="49">
          <cell r="D49">
            <v>0</v>
          </cell>
          <cell r="L49">
            <v>7765292.5499999989</v>
          </cell>
        </row>
        <row r="50">
          <cell r="D50">
            <v>0</v>
          </cell>
        </row>
        <row r="51">
          <cell r="D51">
            <v>1123852.45</v>
          </cell>
        </row>
        <row r="52">
          <cell r="D52">
            <v>1156.67</v>
          </cell>
        </row>
        <row r="53">
          <cell r="D53">
            <v>7765292.5499999989</v>
          </cell>
        </row>
      </sheetData>
      <sheetData sheetId="2">
        <row r="5">
          <cell r="D5">
            <v>5826306.0100000007</v>
          </cell>
          <cell r="L5">
            <v>0</v>
          </cell>
        </row>
        <row r="6">
          <cell r="D6">
            <v>4899130.1900000004</v>
          </cell>
          <cell r="L6">
            <v>0</v>
          </cell>
        </row>
        <row r="7">
          <cell r="D7">
            <v>927175.82</v>
          </cell>
          <cell r="L7">
            <v>0</v>
          </cell>
        </row>
        <row r="8">
          <cell r="D8">
            <v>0</v>
          </cell>
          <cell r="L8">
            <v>0</v>
          </cell>
        </row>
        <row r="9">
          <cell r="D9">
            <v>115597.74</v>
          </cell>
          <cell r="L9">
            <v>0</v>
          </cell>
        </row>
        <row r="10">
          <cell r="D10">
            <v>0</v>
          </cell>
          <cell r="L10">
            <v>0</v>
          </cell>
        </row>
        <row r="11">
          <cell r="L11">
            <v>0</v>
          </cell>
        </row>
        <row r="12">
          <cell r="D12">
            <v>492659.69</v>
          </cell>
          <cell r="L12">
            <v>0</v>
          </cell>
        </row>
        <row r="13">
          <cell r="D13">
            <v>471910.6</v>
          </cell>
          <cell r="L13">
            <v>0</v>
          </cell>
        </row>
        <row r="14">
          <cell r="D14">
            <v>20749.09</v>
          </cell>
          <cell r="L14">
            <v>0</v>
          </cell>
        </row>
        <row r="15">
          <cell r="D15">
            <v>0</v>
          </cell>
          <cell r="L15">
            <v>0</v>
          </cell>
        </row>
        <row r="16">
          <cell r="D16">
            <v>384.22</v>
          </cell>
          <cell r="L16">
            <v>0</v>
          </cell>
        </row>
        <row r="17">
          <cell r="L17">
            <v>0</v>
          </cell>
        </row>
        <row r="18">
          <cell r="L18">
            <v>0</v>
          </cell>
        </row>
        <row r="19">
          <cell r="D19">
            <v>0</v>
          </cell>
          <cell r="L19">
            <v>0</v>
          </cell>
        </row>
        <row r="20">
          <cell r="D20">
            <v>0</v>
          </cell>
          <cell r="L20">
            <v>0</v>
          </cell>
        </row>
        <row r="22">
          <cell r="D22">
            <v>0</v>
          </cell>
        </row>
        <row r="23">
          <cell r="D23">
            <v>0</v>
          </cell>
        </row>
        <row r="24">
          <cell r="D24">
            <v>0</v>
          </cell>
          <cell r="L24">
            <v>0</v>
          </cell>
        </row>
        <row r="25">
          <cell r="D25">
            <v>0</v>
          </cell>
          <cell r="L25">
            <v>0</v>
          </cell>
        </row>
        <row r="26">
          <cell r="D26">
            <v>202.29</v>
          </cell>
          <cell r="L26">
            <v>6744009.2599999998</v>
          </cell>
        </row>
        <row r="27">
          <cell r="D27">
            <v>202.29</v>
          </cell>
          <cell r="L27">
            <v>6744009.2599999998</v>
          </cell>
        </row>
        <row r="28">
          <cell r="D28">
            <v>0</v>
          </cell>
          <cell r="L28">
            <v>0</v>
          </cell>
        </row>
        <row r="29">
          <cell r="D29">
            <v>0</v>
          </cell>
          <cell r="L29">
            <v>0</v>
          </cell>
        </row>
        <row r="30">
          <cell r="D30">
            <v>0</v>
          </cell>
          <cell r="L30">
            <v>0</v>
          </cell>
        </row>
        <row r="31">
          <cell r="L31">
            <v>0</v>
          </cell>
        </row>
        <row r="34">
          <cell r="L34">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sheetData>
      <sheetData sheetId="3"/>
      <sheetData sheetId="4">
        <row r="5">
          <cell r="D5">
            <v>6195509</v>
          </cell>
          <cell r="E5">
            <v>677856.77</v>
          </cell>
          <cell r="F5">
            <v>6873365.7699999996</v>
          </cell>
          <cell r="G5">
            <v>6186331.7300000004</v>
          </cell>
          <cell r="H5">
            <v>5823372.0300000003</v>
          </cell>
          <cell r="I5">
            <v>1049993.7399999993</v>
          </cell>
          <cell r="J5">
            <v>5821534.8099999996</v>
          </cell>
          <cell r="K5">
            <v>1837.2200000006706</v>
          </cell>
        </row>
        <row r="6">
          <cell r="D6">
            <v>492241</v>
          </cell>
          <cell r="E6">
            <v>206847.82</v>
          </cell>
          <cell r="F6">
            <v>699088.82000000007</v>
          </cell>
          <cell r="G6">
            <v>539448.22</v>
          </cell>
          <cell r="H6">
            <v>500081.26</v>
          </cell>
          <cell r="I6">
            <v>199007.56000000006</v>
          </cell>
          <cell r="J6">
            <v>448154.39</v>
          </cell>
          <cell r="K6">
            <v>51926.869999999995</v>
          </cell>
        </row>
        <row r="7">
          <cell r="D7">
            <v>0</v>
          </cell>
          <cell r="E7">
            <v>41135.279999999999</v>
          </cell>
          <cell r="F7">
            <v>41135.279999999999</v>
          </cell>
          <cell r="G7">
            <v>1267.1600000000001</v>
          </cell>
          <cell r="H7">
            <v>1267.1600000000001</v>
          </cell>
          <cell r="I7">
            <v>39868.119999999995</v>
          </cell>
          <cell r="J7">
            <v>1267.1600000000001</v>
          </cell>
          <cell r="K7">
            <v>0</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61000</v>
          </cell>
          <cell r="E10">
            <v>135298.97</v>
          </cell>
          <cell r="F10">
            <v>196298.97</v>
          </cell>
          <cell r="G10">
            <v>77737.13</v>
          </cell>
          <cell r="H10">
            <v>33576.550000000003</v>
          </cell>
          <cell r="I10">
            <v>162722.41999999998</v>
          </cell>
          <cell r="J10">
            <v>32997.18</v>
          </cell>
          <cell r="K10">
            <v>579.37000000000262</v>
          </cell>
        </row>
        <row r="11">
          <cell r="D11">
            <v>0</v>
          </cell>
          <cell r="E11">
            <v>0</v>
          </cell>
          <cell r="F11">
            <v>0</v>
          </cell>
          <cell r="G11">
            <v>0</v>
          </cell>
          <cell r="H11">
            <v>0</v>
          </cell>
          <cell r="I11">
            <v>0</v>
          </cell>
          <cell r="J11">
            <v>0</v>
          </cell>
          <cell r="K11">
            <v>0</v>
          </cell>
        </row>
        <row r="12">
          <cell r="D12">
            <v>0</v>
          </cell>
          <cell r="E12">
            <v>32500</v>
          </cell>
          <cell r="F12">
            <v>32500</v>
          </cell>
          <cell r="G12">
            <v>3900</v>
          </cell>
          <cell r="H12">
            <v>3900</v>
          </cell>
          <cell r="I12">
            <v>28600</v>
          </cell>
          <cell r="J12">
            <v>3900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6748750</v>
          </cell>
          <cell r="E22">
            <v>0</v>
          </cell>
          <cell r="F22">
            <v>6748750</v>
          </cell>
          <cell r="G22">
            <v>6744009.2599999998</v>
          </cell>
          <cell r="H22">
            <v>4826318.24</v>
          </cell>
          <cell r="I22">
            <v>0</v>
          </cell>
          <cell r="J22">
            <v>1917691.0199999996</v>
          </cell>
        </row>
        <row r="23">
          <cell r="D23">
            <v>0</v>
          </cell>
          <cell r="E23">
            <v>0</v>
          </cell>
          <cell r="F23">
            <v>0</v>
          </cell>
          <cell r="G23">
            <v>0</v>
          </cell>
          <cell r="H23">
            <v>0</v>
          </cell>
          <cell r="I23">
            <v>0</v>
          </cell>
          <cell r="J23">
            <v>0</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1093638.8400000001</v>
          </cell>
          <cell r="F27">
            <v>1093638.8400000001</v>
          </cell>
          <cell r="G27">
            <v>5761.34</v>
          </cell>
          <cell r="H27">
            <v>5661.34</v>
          </cell>
          <cell r="I27">
            <v>0</v>
          </cell>
          <cell r="J27">
            <v>100</v>
          </cell>
        </row>
        <row r="28">
          <cell r="D28">
            <v>0</v>
          </cell>
          <cell r="E28">
            <v>0</v>
          </cell>
          <cell r="F28">
            <v>0</v>
          </cell>
          <cell r="G28">
            <v>0</v>
          </cell>
          <cell r="H28">
            <v>0</v>
          </cell>
          <cell r="I28">
            <v>0</v>
          </cell>
          <cell r="J28">
            <v>0</v>
          </cell>
        </row>
      </sheetData>
      <sheetData sheetId="5">
        <row r="5">
          <cell r="D5">
            <v>5761.34</v>
          </cell>
          <cell r="E5">
            <v>3900</v>
          </cell>
        </row>
        <row r="6">
          <cell r="D6">
            <v>0</v>
          </cell>
          <cell r="E6">
            <v>0</v>
          </cell>
        </row>
        <row r="8">
          <cell r="D8">
            <v>0</v>
          </cell>
          <cell r="E8">
            <v>0</v>
          </cell>
        </row>
        <row r="10">
          <cell r="F10">
            <v>13007.42</v>
          </cell>
        </row>
        <row r="11">
          <cell r="F11">
            <v>0</v>
          </cell>
        </row>
        <row r="12">
          <cell r="F12">
            <v>0</v>
          </cell>
        </row>
      </sheetData>
      <sheetData sheetId="6">
        <row r="3">
          <cell r="D3">
            <v>1917791.02</v>
          </cell>
        </row>
        <row r="4">
          <cell r="D4">
            <v>1917791.02</v>
          </cell>
        </row>
        <row r="5">
          <cell r="D5">
            <v>0</v>
          </cell>
        </row>
        <row r="6">
          <cell r="D6">
            <v>0</v>
          </cell>
        </row>
        <row r="7">
          <cell r="D7">
            <v>0</v>
          </cell>
        </row>
        <row r="8">
          <cell r="D8">
            <v>0</v>
          </cell>
        </row>
        <row r="9">
          <cell r="D9">
            <v>0</v>
          </cell>
        </row>
        <row r="10">
          <cell r="D10">
            <v>1549099.28</v>
          </cell>
        </row>
        <row r="11">
          <cell r="D11">
            <v>54343.46</v>
          </cell>
        </row>
        <row r="12">
          <cell r="D12">
            <v>7.15</v>
          </cell>
        </row>
        <row r="13">
          <cell r="D13">
            <v>1494748.67</v>
          </cell>
        </row>
        <row r="14">
          <cell r="D14">
            <v>0</v>
          </cell>
        </row>
        <row r="15">
          <cell r="D15">
            <v>0</v>
          </cell>
        </row>
        <row r="16">
          <cell r="D16">
            <v>1123852.45</v>
          </cell>
        </row>
        <row r="17">
          <cell r="D17">
            <v>0</v>
          </cell>
        </row>
        <row r="18">
          <cell r="D18">
            <v>1492544.19</v>
          </cell>
        </row>
        <row r="19">
          <cell r="D19">
            <v>1492544.19</v>
          </cell>
        </row>
        <row r="23">
          <cell r="D23">
            <v>9096148.120000001</v>
          </cell>
        </row>
        <row r="24">
          <cell r="D24">
            <v>4831979.58</v>
          </cell>
        </row>
        <row r="25">
          <cell r="D25">
            <v>756750.23</v>
          </cell>
        </row>
        <row r="26">
          <cell r="D26">
            <v>3507418.31</v>
          </cell>
        </row>
        <row r="27">
          <cell r="D27">
            <v>0</v>
          </cell>
        </row>
        <row r="28">
          <cell r="D28">
            <v>9113832.629999999</v>
          </cell>
        </row>
        <row r="29">
          <cell r="D29">
            <v>6307853.54</v>
          </cell>
        </row>
        <row r="30">
          <cell r="D30">
            <v>36906.79</v>
          </cell>
        </row>
        <row r="31">
          <cell r="D31">
            <v>2769072.3</v>
          </cell>
        </row>
        <row r="32">
          <cell r="D32">
            <v>0</v>
          </cell>
        </row>
        <row r="33">
          <cell r="D33">
            <v>-17684.509999997914</v>
          </cell>
        </row>
        <row r="34">
          <cell r="D34">
            <v>1141536.96</v>
          </cell>
        </row>
        <row r="35">
          <cell r="D35">
            <v>1123852.450000002</v>
          </cell>
        </row>
      </sheetData>
      <sheetData sheetId="7">
        <row r="5">
          <cell r="D5">
            <v>6574.05</v>
          </cell>
          <cell r="E5">
            <v>0</v>
          </cell>
          <cell r="F5">
            <v>6574.05</v>
          </cell>
          <cell r="G5">
            <v>6574.05</v>
          </cell>
          <cell r="H5">
            <v>0</v>
          </cell>
        </row>
        <row r="6">
          <cell r="D6">
            <v>30339.89</v>
          </cell>
          <cell r="E6">
            <v>0</v>
          </cell>
          <cell r="F6">
            <v>30339.89</v>
          </cell>
          <cell r="G6">
            <v>30332.74</v>
          </cell>
          <cell r="H6">
            <v>7.1499999999978172</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756750.22999999952</v>
          </cell>
          <cell r="E21">
            <v>0</v>
          </cell>
          <cell r="F21">
            <v>0</v>
          </cell>
          <cell r="G21">
            <v>0</v>
          </cell>
          <cell r="H21">
            <v>756750.22999999952</v>
          </cell>
          <cell r="I21">
            <v>756750.23</v>
          </cell>
          <cell r="J21">
            <v>0</v>
          </cell>
          <cell r="K21">
            <v>0</v>
          </cell>
          <cell r="L21">
            <v>-4.6566128730773926E-10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87</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157788.26</v>
          </cell>
          <cell r="L3">
            <v>589700.33000000007</v>
          </cell>
        </row>
        <row r="4">
          <cell r="D4">
            <v>51445.35</v>
          </cell>
          <cell r="L4">
            <v>1410098.51</v>
          </cell>
        </row>
        <row r="5">
          <cell r="D5">
            <v>0</v>
          </cell>
          <cell r="L5">
            <v>1403298.51</v>
          </cell>
        </row>
        <row r="6">
          <cell r="D6">
            <v>0</v>
          </cell>
          <cell r="L6">
            <v>0</v>
          </cell>
        </row>
        <row r="7">
          <cell r="D7">
            <v>0</v>
          </cell>
          <cell r="L7">
            <v>6800</v>
          </cell>
        </row>
        <row r="8">
          <cell r="D8">
            <v>51445.35</v>
          </cell>
          <cell r="L8">
            <v>0</v>
          </cell>
        </row>
        <row r="9">
          <cell r="D9">
            <v>0</v>
          </cell>
          <cell r="L9">
            <v>0</v>
          </cell>
        </row>
        <row r="10">
          <cell r="D10">
            <v>2427.2599999999984</v>
          </cell>
          <cell r="L10">
            <v>0</v>
          </cell>
        </row>
        <row r="11">
          <cell r="D11">
            <v>0</v>
          </cell>
          <cell r="L11">
            <v>0</v>
          </cell>
        </row>
        <row r="12">
          <cell r="D12">
            <v>0</v>
          </cell>
          <cell r="L12">
            <v>-529441.01</v>
          </cell>
        </row>
        <row r="13">
          <cell r="D13">
            <v>19384.66</v>
          </cell>
          <cell r="L13">
            <v>-529441.01</v>
          </cell>
        </row>
        <row r="14">
          <cell r="D14">
            <v>0</v>
          </cell>
          <cell r="L14">
            <v>0</v>
          </cell>
        </row>
        <row r="15">
          <cell r="D15">
            <v>0</v>
          </cell>
          <cell r="L15">
            <v>-290957.17</v>
          </cell>
        </row>
        <row r="16">
          <cell r="D16">
            <v>-16957.400000000001</v>
          </cell>
          <cell r="L16">
            <v>0</v>
          </cell>
        </row>
        <row r="17">
          <cell r="D17">
            <v>0</v>
          </cell>
          <cell r="L17">
            <v>0</v>
          </cell>
        </row>
        <row r="18">
          <cell r="D18">
            <v>103915.65000000002</v>
          </cell>
          <cell r="L18">
            <v>0</v>
          </cell>
        </row>
        <row r="19">
          <cell r="D19">
            <v>79564.52</v>
          </cell>
          <cell r="L19">
            <v>0</v>
          </cell>
        </row>
        <row r="20">
          <cell r="D20">
            <v>64848.38</v>
          </cell>
          <cell r="L20">
            <v>0</v>
          </cell>
        </row>
        <row r="21">
          <cell r="D21">
            <v>399491.9</v>
          </cell>
          <cell r="L21">
            <v>0</v>
          </cell>
        </row>
        <row r="22">
          <cell r="D22">
            <v>72557.069999999992</v>
          </cell>
          <cell r="L22">
            <v>0</v>
          </cell>
        </row>
        <row r="23">
          <cell r="D23">
            <v>-512546.22</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49289.440000000002</v>
          </cell>
        </row>
        <row r="31">
          <cell r="D31">
            <v>481201.51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77601.05</v>
          </cell>
          <cell r="L39">
            <v>49289.440000000002</v>
          </cell>
        </row>
        <row r="40">
          <cell r="D40">
            <v>76978.3</v>
          </cell>
          <cell r="L40">
            <v>16668.419999999998</v>
          </cell>
        </row>
        <row r="41">
          <cell r="D41">
            <v>-2.02</v>
          </cell>
          <cell r="L41">
            <v>0</v>
          </cell>
        </row>
        <row r="42">
          <cell r="D42">
            <v>0</v>
          </cell>
          <cell r="L42">
            <v>0</v>
          </cell>
        </row>
        <row r="43">
          <cell r="D43">
            <v>624.77</v>
          </cell>
          <cell r="L43">
            <v>31521.86</v>
          </cell>
        </row>
        <row r="44">
          <cell r="D44">
            <v>0</v>
          </cell>
          <cell r="L44">
            <v>1099.1600000000001</v>
          </cell>
        </row>
        <row r="45">
          <cell r="D45">
            <v>0</v>
          </cell>
          <cell r="L45">
            <v>0</v>
          </cell>
        </row>
        <row r="46">
          <cell r="D46">
            <v>0</v>
          </cell>
          <cell r="L46">
            <v>0</v>
          </cell>
        </row>
        <row r="47">
          <cell r="D47">
            <v>0</v>
          </cell>
          <cell r="L47">
            <v>0</v>
          </cell>
        </row>
        <row r="48">
          <cell r="D48">
            <v>0</v>
          </cell>
          <cell r="L48">
            <v>0</v>
          </cell>
        </row>
        <row r="49">
          <cell r="D49">
            <v>0</v>
          </cell>
          <cell r="L49">
            <v>638989.77</v>
          </cell>
        </row>
        <row r="50">
          <cell r="D50">
            <v>0</v>
          </cell>
        </row>
        <row r="51">
          <cell r="D51">
            <v>403600.46</v>
          </cell>
        </row>
        <row r="52">
          <cell r="D52">
            <v>0</v>
          </cell>
        </row>
        <row r="53">
          <cell r="D53">
            <v>638989.77</v>
          </cell>
        </row>
      </sheetData>
      <sheetData sheetId="2">
        <row r="5">
          <cell r="D5">
            <v>363131.48000000004</v>
          </cell>
          <cell r="L5">
            <v>0</v>
          </cell>
        </row>
        <row r="6">
          <cell r="D6">
            <v>293462.52</v>
          </cell>
          <cell r="L6">
            <v>0</v>
          </cell>
        </row>
        <row r="7">
          <cell r="D7">
            <v>69668.960000000006</v>
          </cell>
          <cell r="L7">
            <v>0</v>
          </cell>
        </row>
        <row r="8">
          <cell r="D8">
            <v>0</v>
          </cell>
          <cell r="L8">
            <v>0</v>
          </cell>
        </row>
        <row r="9">
          <cell r="D9">
            <v>18211.66</v>
          </cell>
          <cell r="L9">
            <v>0</v>
          </cell>
        </row>
        <row r="10">
          <cell r="D10">
            <v>0</v>
          </cell>
          <cell r="L10">
            <v>0</v>
          </cell>
        </row>
        <row r="11">
          <cell r="L11">
            <v>0</v>
          </cell>
        </row>
        <row r="12">
          <cell r="D12">
            <v>619526.25</v>
          </cell>
          <cell r="L12">
            <v>0</v>
          </cell>
        </row>
        <row r="13">
          <cell r="D13">
            <v>619526.25</v>
          </cell>
          <cell r="L13">
            <v>0</v>
          </cell>
        </row>
        <row r="14">
          <cell r="D14">
            <v>0</v>
          </cell>
          <cell r="L14">
            <v>0</v>
          </cell>
        </row>
        <row r="15">
          <cell r="D15">
            <v>0</v>
          </cell>
          <cell r="L15">
            <v>0</v>
          </cell>
        </row>
        <row r="16">
          <cell r="D16">
            <v>0</v>
          </cell>
          <cell r="L16">
            <v>0</v>
          </cell>
        </row>
        <row r="17">
          <cell r="L17">
            <v>0</v>
          </cell>
        </row>
        <row r="18">
          <cell r="L18">
            <v>0</v>
          </cell>
        </row>
        <row r="19">
          <cell r="D19">
            <v>0</v>
          </cell>
          <cell r="L19">
            <v>0</v>
          </cell>
        </row>
        <row r="20">
          <cell r="D20">
            <v>0</v>
          </cell>
          <cell r="L20">
            <v>1875.41</v>
          </cell>
        </row>
        <row r="22">
          <cell r="D22">
            <v>15000</v>
          </cell>
        </row>
        <row r="23">
          <cell r="D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2100</v>
          </cell>
        </row>
        <row r="34">
          <cell r="L34">
            <v>0</v>
          </cell>
        </row>
        <row r="36">
          <cell r="L36">
            <v>703289.31</v>
          </cell>
        </row>
        <row r="37">
          <cell r="L37">
            <v>0</v>
          </cell>
        </row>
        <row r="38">
          <cell r="L38">
            <v>17647.5</v>
          </cell>
        </row>
        <row r="39">
          <cell r="L39">
            <v>0</v>
          </cell>
        </row>
        <row r="40">
          <cell r="L40">
            <v>0</v>
          </cell>
        </row>
        <row r="41">
          <cell r="L41">
            <v>0</v>
          </cell>
        </row>
        <row r="42">
          <cell r="L42">
            <v>0</v>
          </cell>
        </row>
        <row r="43">
          <cell r="L43">
            <v>0</v>
          </cell>
        </row>
        <row r="44">
          <cell r="L44">
            <v>0</v>
          </cell>
        </row>
      </sheetData>
      <sheetData sheetId="3"/>
      <sheetData sheetId="4">
        <row r="5">
          <cell r="D5">
            <v>543990</v>
          </cell>
          <cell r="E5">
            <v>5661.43</v>
          </cell>
          <cell r="F5">
            <v>549651.43000000005</v>
          </cell>
          <cell r="G5">
            <v>363131.48</v>
          </cell>
          <cell r="H5">
            <v>363131.48</v>
          </cell>
          <cell r="I5">
            <v>186519.95000000007</v>
          </cell>
          <cell r="J5">
            <v>357393.86</v>
          </cell>
          <cell r="K5">
            <v>5737.6199999999953</v>
          </cell>
        </row>
        <row r="6">
          <cell r="D6">
            <v>841530</v>
          </cell>
          <cell r="E6">
            <v>758</v>
          </cell>
          <cell r="F6">
            <v>842288</v>
          </cell>
          <cell r="G6">
            <v>614323.25</v>
          </cell>
          <cell r="H6">
            <v>614323.25</v>
          </cell>
          <cell r="I6">
            <v>227964.75</v>
          </cell>
          <cell r="J6">
            <v>603392.44999999995</v>
          </cell>
          <cell r="K6">
            <v>10930.800000000047</v>
          </cell>
        </row>
        <row r="7">
          <cell r="D7">
            <v>0</v>
          </cell>
          <cell r="E7">
            <v>0</v>
          </cell>
          <cell r="F7">
            <v>0</v>
          </cell>
          <cell r="G7">
            <v>0</v>
          </cell>
          <cell r="H7">
            <v>0</v>
          </cell>
          <cell r="I7">
            <v>0</v>
          </cell>
          <cell r="J7">
            <v>0</v>
          </cell>
          <cell r="K7">
            <v>0</v>
          </cell>
        </row>
        <row r="8">
          <cell r="D8">
            <v>16000</v>
          </cell>
          <cell r="E8">
            <v>0</v>
          </cell>
          <cell r="F8">
            <v>16000</v>
          </cell>
          <cell r="G8">
            <v>15000</v>
          </cell>
          <cell r="H8">
            <v>15000</v>
          </cell>
          <cell r="I8">
            <v>1000</v>
          </cell>
          <cell r="J8">
            <v>15000</v>
          </cell>
          <cell r="K8">
            <v>0</v>
          </cell>
        </row>
        <row r="9">
          <cell r="D9">
            <v>0</v>
          </cell>
          <cell r="E9">
            <v>0</v>
          </cell>
          <cell r="F9">
            <v>0</v>
          </cell>
          <cell r="G9">
            <v>0</v>
          </cell>
          <cell r="H9">
            <v>0</v>
          </cell>
          <cell r="I9">
            <v>0</v>
          </cell>
          <cell r="J9">
            <v>0</v>
          </cell>
          <cell r="K9">
            <v>0</v>
          </cell>
        </row>
        <row r="10">
          <cell r="D10">
            <v>23530</v>
          </cell>
          <cell r="E10">
            <v>0</v>
          </cell>
          <cell r="F10">
            <v>23530</v>
          </cell>
          <cell r="G10">
            <v>10978.04</v>
          </cell>
          <cell r="H10">
            <v>10978.04</v>
          </cell>
          <cell r="I10">
            <v>12551.96</v>
          </cell>
          <cell r="J10">
            <v>10978.04</v>
          </cell>
          <cell r="K10">
            <v>0</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1875.41</v>
          </cell>
          <cell r="H22">
            <v>1612.09</v>
          </cell>
          <cell r="I22">
            <v>0</v>
          </cell>
          <cell r="J22">
            <v>263.32000000000016</v>
          </cell>
        </row>
        <row r="23">
          <cell r="D23">
            <v>1401520</v>
          </cell>
          <cell r="E23">
            <v>0</v>
          </cell>
          <cell r="F23">
            <v>1401520</v>
          </cell>
          <cell r="G23">
            <v>703289.31</v>
          </cell>
          <cell r="H23">
            <v>630496.01</v>
          </cell>
          <cell r="I23">
            <v>698230.71</v>
          </cell>
          <cell r="J23">
            <v>72793.300000000047</v>
          </cell>
        </row>
        <row r="24">
          <cell r="D24">
            <v>0</v>
          </cell>
          <cell r="E24">
            <v>0</v>
          </cell>
          <cell r="F24">
            <v>0</v>
          </cell>
          <cell r="G24">
            <v>2100</v>
          </cell>
          <cell r="H24">
            <v>2100</v>
          </cell>
          <cell r="I24">
            <v>0</v>
          </cell>
          <cell r="J24">
            <v>0</v>
          </cell>
        </row>
        <row r="25">
          <cell r="D25">
            <v>0</v>
          </cell>
          <cell r="E25">
            <v>0</v>
          </cell>
          <cell r="F25">
            <v>0</v>
          </cell>
          <cell r="G25">
            <v>0</v>
          </cell>
          <cell r="H25">
            <v>0</v>
          </cell>
          <cell r="I25">
            <v>0</v>
          </cell>
          <cell r="J25">
            <v>0</v>
          </cell>
        </row>
        <row r="26">
          <cell r="D26">
            <v>23530</v>
          </cell>
          <cell r="E26">
            <v>0</v>
          </cell>
          <cell r="F26">
            <v>23530</v>
          </cell>
          <cell r="G26">
            <v>17647.5</v>
          </cell>
          <cell r="H26">
            <v>13725.82</v>
          </cell>
          <cell r="I26">
            <v>0</v>
          </cell>
          <cell r="J26">
            <v>3921.6800000000003</v>
          </cell>
        </row>
        <row r="27">
          <cell r="D27">
            <v>0</v>
          </cell>
          <cell r="E27">
            <v>6419.43</v>
          </cell>
          <cell r="F27">
            <v>6419.43</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0</v>
          </cell>
        </row>
        <row r="12">
          <cell r="F12">
            <v>0</v>
          </cell>
        </row>
      </sheetData>
      <sheetData sheetId="6">
        <row r="3">
          <cell r="D3">
            <v>77601.05</v>
          </cell>
        </row>
        <row r="4">
          <cell r="D4">
            <v>76978.3</v>
          </cell>
        </row>
        <row r="5">
          <cell r="D5">
            <v>0</v>
          </cell>
        </row>
        <row r="6">
          <cell r="D6">
            <v>622.75</v>
          </cell>
        </row>
        <row r="7">
          <cell r="D7">
            <v>0</v>
          </cell>
        </row>
        <row r="8">
          <cell r="D8">
            <v>0</v>
          </cell>
        </row>
        <row r="9">
          <cell r="D9">
            <v>0</v>
          </cell>
        </row>
        <row r="10">
          <cell r="D10">
            <v>49289.440000000002</v>
          </cell>
        </row>
        <row r="11">
          <cell r="D11">
            <v>16668.419999999998</v>
          </cell>
        </row>
        <row r="12">
          <cell r="D12">
            <v>0</v>
          </cell>
        </row>
        <row r="13">
          <cell r="D13">
            <v>32621.02</v>
          </cell>
        </row>
        <row r="14">
          <cell r="D14">
            <v>0</v>
          </cell>
        </row>
        <row r="15">
          <cell r="D15">
            <v>0</v>
          </cell>
        </row>
        <row r="16">
          <cell r="D16">
            <v>403600.46</v>
          </cell>
        </row>
        <row r="17">
          <cell r="D17">
            <v>0</v>
          </cell>
        </row>
        <row r="18">
          <cell r="D18">
            <v>431912.07</v>
          </cell>
        </row>
        <row r="19">
          <cell r="D19">
            <v>431912.07</v>
          </cell>
        </row>
        <row r="23">
          <cell r="D23">
            <v>1101291.06</v>
          </cell>
        </row>
        <row r="24">
          <cell r="D24">
            <v>647933.91999999993</v>
          </cell>
        </row>
        <row r="25">
          <cell r="D25">
            <v>114546.39</v>
          </cell>
        </row>
        <row r="26">
          <cell r="D26">
            <v>338810.75</v>
          </cell>
        </row>
        <row r="27">
          <cell r="D27">
            <v>0</v>
          </cell>
        </row>
        <row r="28">
          <cell r="D28">
            <v>1330416.1000000001</v>
          </cell>
        </row>
        <row r="29">
          <cell r="D29">
            <v>986764.35</v>
          </cell>
        </row>
        <row r="30">
          <cell r="D30">
            <v>6319.43</v>
          </cell>
        </row>
        <row r="31">
          <cell r="D31">
            <v>337332.32</v>
          </cell>
        </row>
        <row r="32">
          <cell r="D32">
            <v>0</v>
          </cell>
        </row>
        <row r="33">
          <cell r="D33">
            <v>-229125.04000000004</v>
          </cell>
        </row>
        <row r="34">
          <cell r="D34">
            <v>632725.5</v>
          </cell>
        </row>
        <row r="35">
          <cell r="D35">
            <v>403600.45999999996</v>
          </cell>
        </row>
      </sheetData>
      <sheetData sheetId="7">
        <row r="5">
          <cell r="D5">
            <v>5661.43</v>
          </cell>
          <cell r="E5">
            <v>0</v>
          </cell>
          <cell r="F5">
            <v>5661.43</v>
          </cell>
          <cell r="G5">
            <v>5661.43</v>
          </cell>
          <cell r="H5">
            <v>0</v>
          </cell>
        </row>
        <row r="6">
          <cell r="D6">
            <v>658</v>
          </cell>
          <cell r="E6">
            <v>0</v>
          </cell>
          <cell r="F6">
            <v>658</v>
          </cell>
          <cell r="G6">
            <v>658</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672.22</v>
          </cell>
          <cell r="E21">
            <v>0</v>
          </cell>
          <cell r="F21">
            <v>0</v>
          </cell>
          <cell r="G21">
            <v>0</v>
          </cell>
          <cell r="H21">
            <v>672.22</v>
          </cell>
          <cell r="I21">
            <v>672.22</v>
          </cell>
          <cell r="J21">
            <v>0</v>
          </cell>
          <cell r="K21">
            <v>0</v>
          </cell>
          <cell r="L21">
            <v>0</v>
          </cell>
        </row>
        <row r="22">
          <cell r="D22">
            <v>113874.17</v>
          </cell>
          <cell r="E22">
            <v>0</v>
          </cell>
          <cell r="F22">
            <v>0</v>
          </cell>
          <cell r="G22">
            <v>0</v>
          </cell>
          <cell r="H22">
            <v>113874.17</v>
          </cell>
          <cell r="I22">
            <v>113874.17</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10</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6070448.3199999994</v>
          </cell>
          <cell r="L3">
            <v>6497562.54</v>
          </cell>
        </row>
        <row r="4">
          <cell r="D4">
            <v>0</v>
          </cell>
          <cell r="L4">
            <v>11608826.109999999</v>
          </cell>
        </row>
        <row r="5">
          <cell r="D5">
            <v>0</v>
          </cell>
          <cell r="L5">
            <v>5709740.3899999997</v>
          </cell>
        </row>
        <row r="6">
          <cell r="D6">
            <v>0</v>
          </cell>
          <cell r="L6">
            <v>5899085.7199999997</v>
          </cell>
        </row>
        <row r="7">
          <cell r="D7">
            <v>0</v>
          </cell>
          <cell r="L7">
            <v>0</v>
          </cell>
        </row>
        <row r="8">
          <cell r="D8">
            <v>0</v>
          </cell>
          <cell r="L8">
            <v>0</v>
          </cell>
        </row>
        <row r="9">
          <cell r="D9">
            <v>0</v>
          </cell>
          <cell r="L9">
            <v>0</v>
          </cell>
        </row>
        <row r="10">
          <cell r="D10">
            <v>41692.539999999994</v>
          </cell>
          <cell r="L10">
            <v>0</v>
          </cell>
        </row>
        <row r="11">
          <cell r="D11">
            <v>0</v>
          </cell>
          <cell r="L11">
            <v>0</v>
          </cell>
        </row>
        <row r="12">
          <cell r="D12">
            <v>0</v>
          </cell>
          <cell r="L12">
            <v>-5110069.1399999997</v>
          </cell>
        </row>
        <row r="13">
          <cell r="D13">
            <v>0</v>
          </cell>
          <cell r="L13">
            <v>0</v>
          </cell>
        </row>
        <row r="14">
          <cell r="D14">
            <v>0</v>
          </cell>
          <cell r="L14">
            <v>-5110069.1399999997</v>
          </cell>
        </row>
        <row r="15">
          <cell r="D15">
            <v>0</v>
          </cell>
          <cell r="L15">
            <v>-1194.43</v>
          </cell>
        </row>
        <row r="16">
          <cell r="D16">
            <v>-52447.47</v>
          </cell>
          <cell r="L16">
            <v>0</v>
          </cell>
        </row>
        <row r="17">
          <cell r="D17">
            <v>94140.01</v>
          </cell>
          <cell r="L17">
            <v>0</v>
          </cell>
        </row>
        <row r="18">
          <cell r="D18">
            <v>6028755.7799999993</v>
          </cell>
          <cell r="L18">
            <v>0</v>
          </cell>
        </row>
        <row r="19">
          <cell r="D19">
            <v>5896080.6600000001</v>
          </cell>
          <cell r="L19">
            <v>0</v>
          </cell>
        </row>
        <row r="20">
          <cell r="D20">
            <v>242372.96999999997</v>
          </cell>
          <cell r="L20">
            <v>0</v>
          </cell>
        </row>
        <row r="21">
          <cell r="D21">
            <v>72761.3</v>
          </cell>
          <cell r="L21">
            <v>0</v>
          </cell>
        </row>
        <row r="22">
          <cell r="D22">
            <v>475043.52</v>
          </cell>
          <cell r="L22">
            <v>0</v>
          </cell>
        </row>
        <row r="23">
          <cell r="D23">
            <v>-657502.67000000004</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261216.88999999998</v>
          </cell>
        </row>
        <row r="31">
          <cell r="D31">
            <v>688331.11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108687.14</v>
          </cell>
          <cell r="L39">
            <v>261216.88999999998</v>
          </cell>
        </row>
        <row r="40">
          <cell r="D40">
            <v>108045</v>
          </cell>
          <cell r="L40">
            <v>95073.84</v>
          </cell>
        </row>
        <row r="41">
          <cell r="D41">
            <v>642.14</v>
          </cell>
          <cell r="L41">
            <v>164887.57999999999</v>
          </cell>
        </row>
        <row r="42">
          <cell r="D42">
            <v>0</v>
          </cell>
          <cell r="L42">
            <v>0</v>
          </cell>
        </row>
        <row r="43">
          <cell r="D43">
            <v>0</v>
          </cell>
          <cell r="L43">
            <v>0</v>
          </cell>
        </row>
        <row r="44">
          <cell r="D44">
            <v>0</v>
          </cell>
          <cell r="L44">
            <v>0</v>
          </cell>
        </row>
        <row r="45">
          <cell r="D45">
            <v>0</v>
          </cell>
          <cell r="L45">
            <v>1255.47</v>
          </cell>
        </row>
        <row r="46">
          <cell r="D46">
            <v>85</v>
          </cell>
          <cell r="L46">
            <v>0</v>
          </cell>
        </row>
        <row r="47">
          <cell r="D47">
            <v>0</v>
          </cell>
          <cell r="L47">
            <v>0</v>
          </cell>
        </row>
        <row r="48">
          <cell r="D48">
            <v>0</v>
          </cell>
          <cell r="L48">
            <v>0</v>
          </cell>
        </row>
        <row r="49">
          <cell r="D49">
            <v>85</v>
          </cell>
          <cell r="L49">
            <v>6758779.4299999997</v>
          </cell>
        </row>
        <row r="50">
          <cell r="D50">
            <v>0</v>
          </cell>
        </row>
        <row r="51">
          <cell r="D51">
            <v>579558.97</v>
          </cell>
        </row>
        <row r="52">
          <cell r="D52">
            <v>0</v>
          </cell>
        </row>
        <row r="53">
          <cell r="D53">
            <v>6758779.4299999997</v>
          </cell>
        </row>
      </sheetData>
      <sheetData sheetId="2">
        <row r="5">
          <cell r="D5">
            <v>2667825.34</v>
          </cell>
          <cell r="L5">
            <v>0</v>
          </cell>
        </row>
        <row r="6">
          <cell r="D6">
            <v>2179754.19</v>
          </cell>
          <cell r="L6">
            <v>0</v>
          </cell>
        </row>
        <row r="7">
          <cell r="D7">
            <v>488071.15</v>
          </cell>
          <cell r="L7">
            <v>0</v>
          </cell>
        </row>
        <row r="8">
          <cell r="D8">
            <v>0</v>
          </cell>
          <cell r="L8">
            <v>0</v>
          </cell>
        </row>
        <row r="9">
          <cell r="D9">
            <v>163188.04999999999</v>
          </cell>
          <cell r="L9">
            <v>0</v>
          </cell>
        </row>
        <row r="10">
          <cell r="D10">
            <v>0</v>
          </cell>
          <cell r="L10">
            <v>0</v>
          </cell>
        </row>
        <row r="11">
          <cell r="L11">
            <v>0</v>
          </cell>
        </row>
        <row r="12">
          <cell r="D12">
            <v>332685.53999999998</v>
          </cell>
          <cell r="L12">
            <v>0</v>
          </cell>
        </row>
        <row r="13">
          <cell r="D13">
            <v>332685.53999999998</v>
          </cell>
          <cell r="L13">
            <v>0</v>
          </cell>
        </row>
        <row r="14">
          <cell r="D14">
            <v>0</v>
          </cell>
          <cell r="L14">
            <v>0</v>
          </cell>
        </row>
        <row r="15">
          <cell r="D15">
            <v>0</v>
          </cell>
          <cell r="L15">
            <v>0</v>
          </cell>
        </row>
        <row r="16">
          <cell r="D16">
            <v>17.27</v>
          </cell>
          <cell r="L16">
            <v>0</v>
          </cell>
        </row>
        <row r="17">
          <cell r="L17">
            <v>0</v>
          </cell>
        </row>
        <row r="18">
          <cell r="L18">
            <v>0</v>
          </cell>
        </row>
        <row r="19">
          <cell r="D19">
            <v>0</v>
          </cell>
          <cell r="L19">
            <v>0</v>
          </cell>
        </row>
        <row r="20">
          <cell r="D20">
            <v>0</v>
          </cell>
          <cell r="L20">
            <v>0</v>
          </cell>
        </row>
        <row r="22">
          <cell r="D22">
            <v>12311.6</v>
          </cell>
        </row>
        <row r="23">
          <cell r="D23">
            <v>0</v>
          </cell>
        </row>
        <row r="24">
          <cell r="D24">
            <v>0</v>
          </cell>
          <cell r="L24">
            <v>0</v>
          </cell>
        </row>
        <row r="25">
          <cell r="D25">
            <v>0</v>
          </cell>
          <cell r="L25">
            <v>0</v>
          </cell>
        </row>
        <row r="26">
          <cell r="D26">
            <v>0</v>
          </cell>
          <cell r="L26">
            <v>28632.26</v>
          </cell>
        </row>
        <row r="27">
          <cell r="D27">
            <v>0</v>
          </cell>
          <cell r="L27">
            <v>28632.26</v>
          </cell>
        </row>
        <row r="28">
          <cell r="D28">
            <v>0</v>
          </cell>
          <cell r="L28">
            <v>0</v>
          </cell>
        </row>
        <row r="29">
          <cell r="D29">
            <v>0</v>
          </cell>
          <cell r="L29">
            <v>0</v>
          </cell>
        </row>
        <row r="30">
          <cell r="D30">
            <v>0</v>
          </cell>
          <cell r="L30">
            <v>0</v>
          </cell>
        </row>
        <row r="31">
          <cell r="L31">
            <v>0</v>
          </cell>
        </row>
        <row r="34">
          <cell r="L34">
            <v>0</v>
          </cell>
        </row>
        <row r="36">
          <cell r="L36">
            <v>3146201.11</v>
          </cell>
        </row>
        <row r="37">
          <cell r="L37">
            <v>0</v>
          </cell>
        </row>
        <row r="38">
          <cell r="L38">
            <v>0</v>
          </cell>
        </row>
        <row r="39">
          <cell r="L39">
            <v>0</v>
          </cell>
        </row>
        <row r="40">
          <cell r="L40">
            <v>0</v>
          </cell>
        </row>
        <row r="41">
          <cell r="L41">
            <v>0</v>
          </cell>
        </row>
        <row r="42">
          <cell r="L42">
            <v>0</v>
          </cell>
        </row>
        <row r="43">
          <cell r="L43">
            <v>0</v>
          </cell>
        </row>
        <row r="44">
          <cell r="L44">
            <v>0</v>
          </cell>
        </row>
      </sheetData>
      <sheetData sheetId="3"/>
      <sheetData sheetId="4">
        <row r="5">
          <cell r="D5">
            <v>2902500</v>
          </cell>
          <cell r="E5">
            <v>-20455.41</v>
          </cell>
          <cell r="F5">
            <v>2882044.59</v>
          </cell>
          <cell r="G5">
            <v>2667825.34</v>
          </cell>
          <cell r="H5">
            <v>2667825.34</v>
          </cell>
          <cell r="I5">
            <v>214219.25</v>
          </cell>
          <cell r="J5">
            <v>2628334.65</v>
          </cell>
          <cell r="K5">
            <v>39490.689999999944</v>
          </cell>
        </row>
        <row r="6">
          <cell r="D6">
            <v>384420</v>
          </cell>
          <cell r="E6">
            <v>72016.509999999995</v>
          </cell>
          <cell r="F6">
            <v>456436.51</v>
          </cell>
          <cell r="G6">
            <v>371049.01</v>
          </cell>
          <cell r="H6">
            <v>332685.53999999998</v>
          </cell>
          <cell r="I6">
            <v>123750.97000000003</v>
          </cell>
          <cell r="J6">
            <v>290001.7</v>
          </cell>
          <cell r="K6">
            <v>42683.839999999967</v>
          </cell>
        </row>
        <row r="7">
          <cell r="D7">
            <v>5000</v>
          </cell>
          <cell r="E7">
            <v>0</v>
          </cell>
          <cell r="F7">
            <v>5000</v>
          </cell>
          <cell r="G7">
            <v>17.27</v>
          </cell>
          <cell r="H7">
            <v>17.27</v>
          </cell>
          <cell r="I7">
            <v>4982.7299999999996</v>
          </cell>
          <cell r="J7">
            <v>17.27</v>
          </cell>
          <cell r="K7">
            <v>0</v>
          </cell>
        </row>
        <row r="8">
          <cell r="D8">
            <v>15500</v>
          </cell>
          <cell r="E8">
            <v>15000</v>
          </cell>
          <cell r="F8">
            <v>30500</v>
          </cell>
          <cell r="G8">
            <v>12311.6</v>
          </cell>
          <cell r="H8">
            <v>12311.6</v>
          </cell>
          <cell r="I8">
            <v>18188.400000000001</v>
          </cell>
          <cell r="J8">
            <v>12311.6</v>
          </cell>
          <cell r="K8">
            <v>0</v>
          </cell>
        </row>
        <row r="9">
          <cell r="D9">
            <v>0</v>
          </cell>
          <cell r="E9">
            <v>0</v>
          </cell>
          <cell r="F9">
            <v>0</v>
          </cell>
          <cell r="G9">
            <v>0</v>
          </cell>
          <cell r="H9">
            <v>0</v>
          </cell>
          <cell r="I9">
            <v>0</v>
          </cell>
          <cell r="J9">
            <v>0</v>
          </cell>
          <cell r="K9">
            <v>0</v>
          </cell>
        </row>
        <row r="10">
          <cell r="D10">
            <v>32200</v>
          </cell>
          <cell r="E10">
            <v>101555.23</v>
          </cell>
          <cell r="F10">
            <v>133755.22999999998</v>
          </cell>
          <cell r="G10">
            <v>97545.47</v>
          </cell>
          <cell r="H10">
            <v>96474.62</v>
          </cell>
          <cell r="I10">
            <v>37280.609999999986</v>
          </cell>
          <cell r="J10">
            <v>83575.31</v>
          </cell>
          <cell r="K10">
            <v>12899.309999999998</v>
          </cell>
        </row>
        <row r="11">
          <cell r="D11">
            <v>0</v>
          </cell>
          <cell r="E11">
            <v>0</v>
          </cell>
          <cell r="F11">
            <v>0</v>
          </cell>
          <cell r="G11">
            <v>0</v>
          </cell>
          <cell r="H11">
            <v>0</v>
          </cell>
          <cell r="I11">
            <v>0</v>
          </cell>
          <cell r="J11">
            <v>0</v>
          </cell>
          <cell r="K11">
            <v>0</v>
          </cell>
        </row>
        <row r="12">
          <cell r="D12">
            <v>60</v>
          </cell>
          <cell r="E12">
            <v>0</v>
          </cell>
          <cell r="F12">
            <v>60</v>
          </cell>
          <cell r="G12">
            <v>0</v>
          </cell>
          <cell r="H12">
            <v>0</v>
          </cell>
          <cell r="I12">
            <v>60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28632.26</v>
          </cell>
          <cell r="H22">
            <v>28632.26</v>
          </cell>
          <cell r="I22">
            <v>0</v>
          </cell>
          <cell r="J22">
            <v>0</v>
          </cell>
        </row>
        <row r="23">
          <cell r="D23">
            <v>3339680</v>
          </cell>
          <cell r="E23">
            <v>0</v>
          </cell>
          <cell r="F23">
            <v>3339680</v>
          </cell>
          <cell r="G23">
            <v>3146201.11</v>
          </cell>
          <cell r="H23">
            <v>3038156.11</v>
          </cell>
          <cell r="I23">
            <v>0</v>
          </cell>
          <cell r="J23">
            <v>108045</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168116.33</v>
          </cell>
          <cell r="F27">
            <v>168116.33</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121868.93</v>
          </cell>
        </row>
        <row r="11">
          <cell r="F11">
            <v>0</v>
          </cell>
        </row>
        <row r="12">
          <cell r="F12">
            <v>0</v>
          </cell>
        </row>
      </sheetData>
      <sheetData sheetId="6">
        <row r="3">
          <cell r="D3">
            <v>108772.14</v>
          </cell>
        </row>
        <row r="4">
          <cell r="D4">
            <v>108045</v>
          </cell>
        </row>
        <row r="5">
          <cell r="D5">
            <v>0</v>
          </cell>
        </row>
        <row r="6">
          <cell r="D6">
            <v>727.14</v>
          </cell>
        </row>
        <row r="7">
          <cell r="D7">
            <v>0</v>
          </cell>
        </row>
        <row r="8">
          <cell r="D8">
            <v>0</v>
          </cell>
        </row>
        <row r="9">
          <cell r="D9">
            <v>0</v>
          </cell>
        </row>
        <row r="10">
          <cell r="D10">
            <v>261216.88999999998</v>
          </cell>
        </row>
        <row r="11">
          <cell r="D11">
            <v>95073.84</v>
          </cell>
        </row>
        <row r="12">
          <cell r="D12">
            <v>0</v>
          </cell>
        </row>
        <row r="13">
          <cell r="D13">
            <v>166143.04999999999</v>
          </cell>
        </row>
        <row r="14">
          <cell r="D14">
            <v>0</v>
          </cell>
        </row>
        <row r="15">
          <cell r="D15">
            <v>0</v>
          </cell>
        </row>
        <row r="16">
          <cell r="D16">
            <v>579558.97</v>
          </cell>
        </row>
        <row r="17">
          <cell r="D17">
            <v>0</v>
          </cell>
        </row>
        <row r="18">
          <cell r="D18">
            <v>427114.22</v>
          </cell>
        </row>
        <row r="19">
          <cell r="D19">
            <v>427114.22</v>
          </cell>
        </row>
        <row r="23">
          <cell r="D23">
            <v>8606250.1500000004</v>
          </cell>
        </row>
        <row r="24">
          <cell r="D24">
            <v>3066788.37</v>
          </cell>
        </row>
        <row r="25">
          <cell r="D25">
            <v>0</v>
          </cell>
        </row>
        <row r="26">
          <cell r="D26">
            <v>5539461.7800000003</v>
          </cell>
        </row>
        <row r="27">
          <cell r="D27">
            <v>0</v>
          </cell>
        </row>
        <row r="28">
          <cell r="D28">
            <v>8648997.7300000004</v>
          </cell>
        </row>
        <row r="29">
          <cell r="D29">
            <v>3014240.53</v>
          </cell>
        </row>
        <row r="30">
          <cell r="D30">
            <v>66088.09</v>
          </cell>
        </row>
        <row r="31">
          <cell r="D31">
            <v>5568669.1100000003</v>
          </cell>
        </row>
        <row r="32">
          <cell r="D32">
            <v>0</v>
          </cell>
        </row>
        <row r="33">
          <cell r="D33">
            <v>-42747.580000000075</v>
          </cell>
        </row>
        <row r="34">
          <cell r="D34">
            <v>622306.55000000005</v>
          </cell>
        </row>
        <row r="35">
          <cell r="D35">
            <v>579558.97</v>
          </cell>
        </row>
      </sheetData>
      <sheetData sheetId="7">
        <row r="5">
          <cell r="D5">
            <v>38329.530000000261</v>
          </cell>
          <cell r="E5">
            <v>0</v>
          </cell>
          <cell r="F5">
            <v>38329.530000000261</v>
          </cell>
          <cell r="G5">
            <v>38329.530000000261</v>
          </cell>
          <cell r="H5">
            <v>0</v>
          </cell>
        </row>
        <row r="6">
          <cell r="D6">
            <v>22611.460000000021</v>
          </cell>
          <cell r="E6">
            <v>0</v>
          </cell>
          <cell r="F6">
            <v>22611.460000000021</v>
          </cell>
          <cell r="G6">
            <v>22611.460000000021</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5147.1000000000058</v>
          </cell>
          <cell r="E10">
            <v>0</v>
          </cell>
          <cell r="F10">
            <v>5147.1000000000058</v>
          </cell>
          <cell r="G10">
            <v>5147.1000000000058</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37</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43498.369999999995</v>
          </cell>
          <cell r="L3">
            <v>122447.41</v>
          </cell>
        </row>
        <row r="4">
          <cell r="D4">
            <v>0</v>
          </cell>
          <cell r="L4">
            <v>151632.60999999999</v>
          </cell>
        </row>
        <row r="5">
          <cell r="D5">
            <v>0</v>
          </cell>
          <cell r="L5">
            <v>151632.60999999999</v>
          </cell>
        </row>
        <row r="6">
          <cell r="D6">
            <v>0</v>
          </cell>
          <cell r="L6">
            <v>0</v>
          </cell>
        </row>
        <row r="7">
          <cell r="D7">
            <v>0</v>
          </cell>
          <cell r="L7">
            <v>0</v>
          </cell>
        </row>
        <row r="8">
          <cell r="D8">
            <v>0</v>
          </cell>
          <cell r="L8">
            <v>0</v>
          </cell>
        </row>
        <row r="9">
          <cell r="D9">
            <v>0</v>
          </cell>
          <cell r="L9">
            <v>0</v>
          </cell>
        </row>
        <row r="10">
          <cell r="D10">
            <v>1777.1900000000005</v>
          </cell>
          <cell r="L10">
            <v>0</v>
          </cell>
        </row>
        <row r="11">
          <cell r="D11">
            <v>0</v>
          </cell>
          <cell r="L11">
            <v>0</v>
          </cell>
        </row>
        <row r="12">
          <cell r="D12">
            <v>0</v>
          </cell>
          <cell r="L12">
            <v>-40688.99</v>
          </cell>
        </row>
        <row r="13">
          <cell r="D13">
            <v>12260.19</v>
          </cell>
          <cell r="L13">
            <v>0</v>
          </cell>
        </row>
        <row r="14">
          <cell r="D14">
            <v>0</v>
          </cell>
          <cell r="L14">
            <v>-40688.99</v>
          </cell>
        </row>
        <row r="15">
          <cell r="D15">
            <v>0</v>
          </cell>
          <cell r="L15">
            <v>11503.79</v>
          </cell>
        </row>
        <row r="16">
          <cell r="D16">
            <v>-10483</v>
          </cell>
          <cell r="L16">
            <v>0</v>
          </cell>
        </row>
        <row r="17">
          <cell r="D17">
            <v>0</v>
          </cell>
          <cell r="L17">
            <v>0</v>
          </cell>
        </row>
        <row r="18">
          <cell r="D18">
            <v>41721.179999999993</v>
          </cell>
          <cell r="L18">
            <v>0</v>
          </cell>
        </row>
        <row r="19">
          <cell r="D19">
            <v>0</v>
          </cell>
          <cell r="L19">
            <v>0</v>
          </cell>
        </row>
        <row r="20">
          <cell r="D20">
            <v>22780.18</v>
          </cell>
          <cell r="L20">
            <v>0</v>
          </cell>
        </row>
        <row r="21">
          <cell r="D21">
            <v>71619.100000000006</v>
          </cell>
          <cell r="L21">
            <v>0</v>
          </cell>
        </row>
        <row r="22">
          <cell r="D22">
            <v>43260.21</v>
          </cell>
          <cell r="L22">
            <v>0</v>
          </cell>
        </row>
        <row r="23">
          <cell r="D23">
            <v>-95938.31</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160424.09</v>
          </cell>
        </row>
        <row r="31">
          <cell r="D31">
            <v>239373.13</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170202.88999999998</v>
          </cell>
          <cell r="L39">
            <v>160424.09</v>
          </cell>
        </row>
        <row r="40">
          <cell r="D40">
            <v>169953.3</v>
          </cell>
          <cell r="L40">
            <v>127092.03</v>
          </cell>
        </row>
        <row r="41">
          <cell r="D41">
            <v>249.59</v>
          </cell>
          <cell r="L41">
            <v>0</v>
          </cell>
        </row>
        <row r="42">
          <cell r="D42">
            <v>0</v>
          </cell>
          <cell r="L42">
            <v>0</v>
          </cell>
        </row>
        <row r="43">
          <cell r="D43">
            <v>0</v>
          </cell>
          <cell r="L43">
            <v>33332.06</v>
          </cell>
        </row>
        <row r="44">
          <cell r="D44">
            <v>0</v>
          </cell>
          <cell r="L44">
            <v>0</v>
          </cell>
        </row>
        <row r="45">
          <cell r="D45">
            <v>0</v>
          </cell>
          <cell r="L45">
            <v>0</v>
          </cell>
        </row>
        <row r="46">
          <cell r="D46">
            <v>0</v>
          </cell>
          <cell r="L46">
            <v>0</v>
          </cell>
        </row>
        <row r="47">
          <cell r="D47">
            <v>0</v>
          </cell>
          <cell r="L47">
            <v>0</v>
          </cell>
        </row>
        <row r="48">
          <cell r="D48">
            <v>0</v>
          </cell>
          <cell r="L48">
            <v>0</v>
          </cell>
        </row>
        <row r="49">
          <cell r="D49">
            <v>0</v>
          </cell>
          <cell r="L49">
            <v>282871.5</v>
          </cell>
        </row>
        <row r="50">
          <cell r="D50">
            <v>0</v>
          </cell>
        </row>
        <row r="51">
          <cell r="D51">
            <v>69170.240000000005</v>
          </cell>
        </row>
        <row r="52">
          <cell r="D52">
            <v>0</v>
          </cell>
        </row>
        <row r="53">
          <cell r="D53">
            <v>282871.5</v>
          </cell>
        </row>
      </sheetData>
      <sheetData sheetId="2">
        <row r="5">
          <cell r="D5">
            <v>474949.33</v>
          </cell>
          <cell r="L5">
            <v>0</v>
          </cell>
        </row>
        <row r="6">
          <cell r="D6">
            <v>386546.03</v>
          </cell>
          <cell r="L6">
            <v>0</v>
          </cell>
        </row>
        <row r="7">
          <cell r="D7">
            <v>88403.3</v>
          </cell>
          <cell r="L7">
            <v>0</v>
          </cell>
        </row>
        <row r="8">
          <cell r="D8">
            <v>0</v>
          </cell>
          <cell r="L8">
            <v>0</v>
          </cell>
        </row>
        <row r="9">
          <cell r="D9">
            <v>7234.93</v>
          </cell>
          <cell r="L9">
            <v>0</v>
          </cell>
        </row>
        <row r="10">
          <cell r="D10">
            <v>0</v>
          </cell>
          <cell r="L10">
            <v>0</v>
          </cell>
        </row>
        <row r="11">
          <cell r="L11">
            <v>0</v>
          </cell>
        </row>
        <row r="12">
          <cell r="D12">
            <v>78533.17</v>
          </cell>
          <cell r="L12">
            <v>0</v>
          </cell>
        </row>
        <row r="13">
          <cell r="D13">
            <v>78533.17</v>
          </cell>
          <cell r="L13">
            <v>0</v>
          </cell>
        </row>
        <row r="14">
          <cell r="D14">
            <v>0</v>
          </cell>
          <cell r="L14">
            <v>0</v>
          </cell>
        </row>
        <row r="15">
          <cell r="D15">
            <v>0</v>
          </cell>
          <cell r="L15">
            <v>0</v>
          </cell>
        </row>
        <row r="16">
          <cell r="D16">
            <v>275.22000000000003</v>
          </cell>
          <cell r="L16">
            <v>0</v>
          </cell>
        </row>
        <row r="17">
          <cell r="L17">
            <v>0</v>
          </cell>
        </row>
        <row r="18">
          <cell r="L18">
            <v>0</v>
          </cell>
        </row>
        <row r="19">
          <cell r="D19">
            <v>0</v>
          </cell>
          <cell r="L19">
            <v>0</v>
          </cell>
        </row>
        <row r="20">
          <cell r="D20">
            <v>0</v>
          </cell>
          <cell r="L20">
            <v>0</v>
          </cell>
        </row>
        <row r="22">
          <cell r="D22">
            <v>0</v>
          </cell>
        </row>
        <row r="23">
          <cell r="D23">
            <v>200004.84</v>
          </cell>
        </row>
        <row r="24">
          <cell r="D24">
            <v>0</v>
          </cell>
          <cell r="L24">
            <v>0</v>
          </cell>
        </row>
        <row r="25">
          <cell r="D25">
            <v>0</v>
          </cell>
          <cell r="L25">
            <v>0</v>
          </cell>
        </row>
        <row r="26">
          <cell r="D26">
            <v>21018.720000000001</v>
          </cell>
          <cell r="L26">
            <v>0</v>
          </cell>
        </row>
        <row r="27">
          <cell r="D27">
            <v>0</v>
          </cell>
          <cell r="L27">
            <v>0</v>
          </cell>
        </row>
        <row r="28">
          <cell r="D28">
            <v>0</v>
          </cell>
          <cell r="L28">
            <v>0</v>
          </cell>
        </row>
        <row r="29">
          <cell r="D29">
            <v>4808.1000000000004</v>
          </cell>
          <cell r="L29">
            <v>0</v>
          </cell>
        </row>
        <row r="30">
          <cell r="D30">
            <v>16210.62</v>
          </cell>
          <cell r="L30">
            <v>0</v>
          </cell>
        </row>
        <row r="31">
          <cell r="L31">
            <v>0</v>
          </cell>
        </row>
        <row r="34">
          <cell r="L34">
            <v>0</v>
          </cell>
        </row>
        <row r="36">
          <cell r="L36">
            <v>774590</v>
          </cell>
        </row>
        <row r="37">
          <cell r="L37">
            <v>0</v>
          </cell>
        </row>
        <row r="38">
          <cell r="L38">
            <v>18930</v>
          </cell>
        </row>
        <row r="39">
          <cell r="L39">
            <v>0</v>
          </cell>
        </row>
        <row r="40">
          <cell r="L40">
            <v>0</v>
          </cell>
        </row>
        <row r="41">
          <cell r="L41">
            <v>0</v>
          </cell>
        </row>
        <row r="42">
          <cell r="L42">
            <v>0</v>
          </cell>
        </row>
        <row r="43">
          <cell r="L43">
            <v>0</v>
          </cell>
        </row>
        <row r="44">
          <cell r="L44">
            <v>0</v>
          </cell>
        </row>
      </sheetData>
      <sheetData sheetId="3"/>
      <sheetData sheetId="4">
        <row r="5">
          <cell r="D5">
            <v>508320</v>
          </cell>
          <cell r="E5">
            <v>28457.29</v>
          </cell>
          <cell r="F5">
            <v>536777.29</v>
          </cell>
          <cell r="G5">
            <v>474949.33</v>
          </cell>
          <cell r="H5">
            <v>474949.33</v>
          </cell>
          <cell r="I5">
            <v>61827.960000000021</v>
          </cell>
          <cell r="J5">
            <v>474389.97</v>
          </cell>
          <cell r="K5">
            <v>559.36000000004424</v>
          </cell>
        </row>
        <row r="6">
          <cell r="D6">
            <v>118000</v>
          </cell>
          <cell r="E6">
            <v>-34658.729999999996</v>
          </cell>
          <cell r="F6">
            <v>83341.27</v>
          </cell>
          <cell r="G6">
            <v>75365.81</v>
          </cell>
          <cell r="H6">
            <v>75365.81</v>
          </cell>
          <cell r="I6">
            <v>7975.4600000000064</v>
          </cell>
          <cell r="J6">
            <v>67655.94</v>
          </cell>
          <cell r="K6">
            <v>7709.8699999999953</v>
          </cell>
        </row>
        <row r="7">
          <cell r="D7">
            <v>1280</v>
          </cell>
          <cell r="E7">
            <v>189.81999999999994</v>
          </cell>
          <cell r="F7">
            <v>1469.82</v>
          </cell>
          <cell r="G7">
            <v>275.22000000000003</v>
          </cell>
          <cell r="H7">
            <v>275.22000000000003</v>
          </cell>
          <cell r="I7">
            <v>1194.5999999999999</v>
          </cell>
          <cell r="J7">
            <v>275.22000000000003</v>
          </cell>
          <cell r="K7">
            <v>0</v>
          </cell>
        </row>
        <row r="8">
          <cell r="D8">
            <v>146990</v>
          </cell>
          <cell r="E8">
            <v>53014.84</v>
          </cell>
          <cell r="F8">
            <v>200004.84</v>
          </cell>
          <cell r="G8">
            <v>200004.84</v>
          </cell>
          <cell r="H8">
            <v>200004.84</v>
          </cell>
          <cell r="I8">
            <v>0</v>
          </cell>
          <cell r="J8">
            <v>90177.59</v>
          </cell>
          <cell r="K8">
            <v>109827.25</v>
          </cell>
        </row>
        <row r="9">
          <cell r="D9">
            <v>0</v>
          </cell>
          <cell r="E9">
            <v>0</v>
          </cell>
          <cell r="F9">
            <v>0</v>
          </cell>
          <cell r="G9">
            <v>0</v>
          </cell>
          <cell r="H9">
            <v>0</v>
          </cell>
          <cell r="I9">
            <v>0</v>
          </cell>
          <cell r="J9">
            <v>0</v>
          </cell>
          <cell r="K9">
            <v>0</v>
          </cell>
        </row>
        <row r="10">
          <cell r="D10">
            <v>18930</v>
          </cell>
          <cell r="E10">
            <v>6878.47</v>
          </cell>
          <cell r="F10">
            <v>25808.47</v>
          </cell>
          <cell r="G10">
            <v>17857.45</v>
          </cell>
          <cell r="H10">
            <v>17857.45</v>
          </cell>
          <cell r="I10">
            <v>7951.02</v>
          </cell>
          <cell r="J10">
            <v>9601.58</v>
          </cell>
          <cell r="K10">
            <v>8255.8700000000008</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0</v>
          </cell>
          <cell r="H22">
            <v>0</v>
          </cell>
          <cell r="I22">
            <v>0</v>
          </cell>
          <cell r="J22">
            <v>0</v>
          </cell>
        </row>
        <row r="23">
          <cell r="D23">
            <v>774590</v>
          </cell>
          <cell r="E23">
            <v>47003.22</v>
          </cell>
          <cell r="F23">
            <v>821593.22</v>
          </cell>
          <cell r="G23">
            <v>774590</v>
          </cell>
          <cell r="H23">
            <v>610946.69999999995</v>
          </cell>
          <cell r="I23">
            <v>0</v>
          </cell>
          <cell r="J23">
            <v>163643.30000000005</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18930</v>
          </cell>
          <cell r="E26">
            <v>6878.47</v>
          </cell>
          <cell r="F26">
            <v>25808.47</v>
          </cell>
          <cell r="G26">
            <v>18930</v>
          </cell>
          <cell r="H26">
            <v>12620</v>
          </cell>
          <cell r="I26">
            <v>0</v>
          </cell>
          <cell r="J26">
            <v>6310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53881.69</v>
          </cell>
        </row>
        <row r="11">
          <cell r="F11">
            <v>0</v>
          </cell>
        </row>
        <row r="12">
          <cell r="F12">
            <v>0</v>
          </cell>
        </row>
      </sheetData>
      <sheetData sheetId="6">
        <row r="3">
          <cell r="D3">
            <v>170202.88999999998</v>
          </cell>
        </row>
        <row r="4">
          <cell r="D4">
            <v>169953.3</v>
          </cell>
        </row>
        <row r="5">
          <cell r="D5">
            <v>0</v>
          </cell>
        </row>
        <row r="6">
          <cell r="D6">
            <v>249.59</v>
          </cell>
        </row>
        <row r="7">
          <cell r="D7">
            <v>0</v>
          </cell>
        </row>
        <row r="8">
          <cell r="D8">
            <v>0</v>
          </cell>
        </row>
        <row r="9">
          <cell r="D9">
            <v>0</v>
          </cell>
        </row>
        <row r="10">
          <cell r="D10">
            <v>160424.09</v>
          </cell>
        </row>
        <row r="11">
          <cell r="D11">
            <v>126352.35</v>
          </cell>
        </row>
        <row r="12">
          <cell r="D12">
            <v>739.68</v>
          </cell>
        </row>
        <row r="13">
          <cell r="D13">
            <v>33332.06</v>
          </cell>
        </row>
        <row r="14">
          <cell r="D14">
            <v>0</v>
          </cell>
        </row>
        <row r="15">
          <cell r="D15">
            <v>0</v>
          </cell>
        </row>
        <row r="16">
          <cell r="D16">
            <v>69170.240000000005</v>
          </cell>
        </row>
        <row r="17">
          <cell r="D17">
            <v>0</v>
          </cell>
        </row>
        <row r="18">
          <cell r="D18">
            <v>78949.039999999994</v>
          </cell>
        </row>
        <row r="19">
          <cell r="D19">
            <v>78949.039999999994</v>
          </cell>
        </row>
        <row r="23">
          <cell r="D23">
            <v>870852.69</v>
          </cell>
        </row>
        <row r="24">
          <cell r="D24">
            <v>623566.69999999995</v>
          </cell>
        </row>
        <row r="25">
          <cell r="D25">
            <v>59730.23</v>
          </cell>
        </row>
        <row r="26">
          <cell r="D26">
            <v>187555.76</v>
          </cell>
        </row>
        <row r="27">
          <cell r="D27">
            <v>0</v>
          </cell>
        </row>
        <row r="28">
          <cell r="D28">
            <v>974000.44000000006</v>
          </cell>
        </row>
        <row r="29">
          <cell r="D29">
            <v>642100.30000000005</v>
          </cell>
        </row>
        <row r="30">
          <cell r="D30">
            <v>140670.03</v>
          </cell>
        </row>
        <row r="31">
          <cell r="D31">
            <v>191230.11</v>
          </cell>
        </row>
        <row r="32">
          <cell r="D32">
            <v>0</v>
          </cell>
        </row>
        <row r="33">
          <cell r="D33">
            <v>-103147.75000000012</v>
          </cell>
        </row>
        <row r="34">
          <cell r="D34">
            <v>172317.99</v>
          </cell>
        </row>
        <row r="35">
          <cell r="D35">
            <v>69170.239999999874</v>
          </cell>
        </row>
      </sheetData>
      <sheetData sheetId="7">
        <row r="5">
          <cell r="D5">
            <v>59.99</v>
          </cell>
          <cell r="E5">
            <v>0</v>
          </cell>
          <cell r="F5">
            <v>59.99</v>
          </cell>
          <cell r="G5">
            <v>0</v>
          </cell>
          <cell r="H5">
            <v>59.99</v>
          </cell>
        </row>
        <row r="6">
          <cell r="D6">
            <v>10497.1</v>
          </cell>
          <cell r="E6">
            <v>0</v>
          </cell>
          <cell r="F6">
            <v>10497.1</v>
          </cell>
          <cell r="G6">
            <v>10742.17</v>
          </cell>
          <cell r="H6">
            <v>-245.06999999999971</v>
          </cell>
        </row>
        <row r="7">
          <cell r="D7">
            <v>0</v>
          </cell>
          <cell r="E7">
            <v>0</v>
          </cell>
          <cell r="F7">
            <v>0</v>
          </cell>
          <cell r="G7">
            <v>0</v>
          </cell>
          <cell r="H7">
            <v>0</v>
          </cell>
        </row>
        <row r="8">
          <cell r="D8">
            <v>125603.07</v>
          </cell>
          <cell r="E8"/>
          <cell r="F8">
            <v>125603.07</v>
          </cell>
          <cell r="G8">
            <v>124678.31</v>
          </cell>
          <cell r="H8">
            <v>924.76000000000931</v>
          </cell>
        </row>
        <row r="9">
          <cell r="D9">
            <v>5249.55</v>
          </cell>
          <cell r="E9">
            <v>0</v>
          </cell>
          <cell r="F9">
            <v>5249.55</v>
          </cell>
          <cell r="G9">
            <v>5249.55</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75940.850000000006</v>
          </cell>
          <cell r="E22">
            <v>0</v>
          </cell>
          <cell r="F22">
            <v>16210.62</v>
          </cell>
          <cell r="G22">
            <v>0</v>
          </cell>
          <cell r="H22">
            <v>59730.23</v>
          </cell>
          <cell r="I22">
            <v>59730.23</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11</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910100.46</v>
          </cell>
          <cell r="L3">
            <v>1175330.8999999999</v>
          </cell>
        </row>
        <row r="4">
          <cell r="D4">
            <v>0</v>
          </cell>
          <cell r="L4">
            <v>890898.98</v>
          </cell>
        </row>
        <row r="5">
          <cell r="D5">
            <v>0</v>
          </cell>
          <cell r="L5">
            <v>890898.98</v>
          </cell>
        </row>
        <row r="6">
          <cell r="D6">
            <v>0</v>
          </cell>
          <cell r="L6">
            <v>0</v>
          </cell>
        </row>
        <row r="7">
          <cell r="D7">
            <v>0</v>
          </cell>
          <cell r="L7">
            <v>0</v>
          </cell>
        </row>
        <row r="8">
          <cell r="D8">
            <v>0</v>
          </cell>
          <cell r="L8">
            <v>0</v>
          </cell>
        </row>
        <row r="9">
          <cell r="D9">
            <v>0</v>
          </cell>
          <cell r="L9">
            <v>0</v>
          </cell>
        </row>
        <row r="10">
          <cell r="D10">
            <v>0</v>
          </cell>
          <cell r="L10">
            <v>0</v>
          </cell>
        </row>
        <row r="11">
          <cell r="D11">
            <v>0</v>
          </cell>
          <cell r="L11">
            <v>0</v>
          </cell>
        </row>
        <row r="12">
          <cell r="D12">
            <v>0</v>
          </cell>
          <cell r="L12">
            <v>293404.5</v>
          </cell>
        </row>
        <row r="13">
          <cell r="D13">
            <v>0</v>
          </cell>
          <cell r="L13">
            <v>293404.5</v>
          </cell>
        </row>
        <row r="14">
          <cell r="D14">
            <v>0</v>
          </cell>
          <cell r="L14">
            <v>0</v>
          </cell>
        </row>
        <row r="15">
          <cell r="D15">
            <v>0</v>
          </cell>
          <cell r="L15">
            <v>-8972.58</v>
          </cell>
        </row>
        <row r="16">
          <cell r="D16">
            <v>0</v>
          </cell>
          <cell r="L16">
            <v>0</v>
          </cell>
        </row>
        <row r="17">
          <cell r="D17">
            <v>0</v>
          </cell>
          <cell r="L17">
            <v>0</v>
          </cell>
        </row>
        <row r="18">
          <cell r="D18">
            <v>910100.46</v>
          </cell>
          <cell r="L18">
            <v>0</v>
          </cell>
        </row>
        <row r="19">
          <cell r="D19">
            <v>217421.06</v>
          </cell>
          <cell r="L19">
            <v>0</v>
          </cell>
        </row>
        <row r="20">
          <cell r="D20">
            <v>130185.9</v>
          </cell>
          <cell r="L20">
            <v>0</v>
          </cell>
        </row>
        <row r="21">
          <cell r="D21">
            <v>0</v>
          </cell>
          <cell r="L21">
            <v>0</v>
          </cell>
        </row>
        <row r="22">
          <cell r="D22">
            <v>562493.5</v>
          </cell>
          <cell r="L22">
            <v>0</v>
          </cell>
        </row>
        <row r="23">
          <cell r="D23">
            <v>0</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129097.9</v>
          </cell>
        </row>
        <row r="31">
          <cell r="D31">
            <v>394328.34</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89590.82</v>
          </cell>
          <cell r="L39">
            <v>129097.9</v>
          </cell>
        </row>
        <row r="40">
          <cell r="D40">
            <v>89699.02</v>
          </cell>
          <cell r="L40">
            <v>21733.8</v>
          </cell>
        </row>
        <row r="41">
          <cell r="D41">
            <v>1336.32</v>
          </cell>
          <cell r="L41">
            <v>0</v>
          </cell>
        </row>
        <row r="42">
          <cell r="D42">
            <v>0</v>
          </cell>
          <cell r="L42">
            <v>0</v>
          </cell>
        </row>
        <row r="43">
          <cell r="D43">
            <v>0</v>
          </cell>
          <cell r="L43">
            <v>107364.06</v>
          </cell>
        </row>
        <row r="44">
          <cell r="D44">
            <v>0</v>
          </cell>
          <cell r="L44">
            <v>0.04</v>
          </cell>
        </row>
        <row r="45">
          <cell r="D45">
            <v>-1444.52</v>
          </cell>
          <cell r="L45">
            <v>0</v>
          </cell>
        </row>
        <row r="46">
          <cell r="D46">
            <v>0</v>
          </cell>
          <cell r="L46">
            <v>0</v>
          </cell>
        </row>
        <row r="47">
          <cell r="D47">
            <v>0</v>
          </cell>
          <cell r="L47">
            <v>0</v>
          </cell>
        </row>
        <row r="48">
          <cell r="D48">
            <v>0</v>
          </cell>
          <cell r="L48">
            <v>0</v>
          </cell>
        </row>
        <row r="49">
          <cell r="D49">
            <v>0</v>
          </cell>
          <cell r="L49">
            <v>1304428.7999999998</v>
          </cell>
        </row>
        <row r="50">
          <cell r="D50">
            <v>0</v>
          </cell>
        </row>
        <row r="51">
          <cell r="D51">
            <v>304737.52</v>
          </cell>
        </row>
        <row r="52">
          <cell r="D52">
            <v>0</v>
          </cell>
        </row>
        <row r="53">
          <cell r="D53">
            <v>1304428.8</v>
          </cell>
        </row>
      </sheetData>
      <sheetData sheetId="2">
        <row r="5">
          <cell r="D5">
            <v>1865854.8</v>
          </cell>
          <cell r="L5">
            <v>312</v>
          </cell>
        </row>
        <row r="6">
          <cell r="D6">
            <v>1600778.72</v>
          </cell>
          <cell r="L6">
            <v>0</v>
          </cell>
        </row>
        <row r="7">
          <cell r="D7">
            <v>265076.08</v>
          </cell>
          <cell r="L7">
            <v>0</v>
          </cell>
        </row>
        <row r="8">
          <cell r="D8">
            <v>0</v>
          </cell>
          <cell r="L8">
            <v>0</v>
          </cell>
        </row>
        <row r="9">
          <cell r="D9">
            <v>0</v>
          </cell>
          <cell r="L9">
            <v>0</v>
          </cell>
        </row>
        <row r="10">
          <cell r="D10">
            <v>1444.52</v>
          </cell>
          <cell r="L10">
            <v>0</v>
          </cell>
        </row>
        <row r="11">
          <cell r="L11">
            <v>0</v>
          </cell>
        </row>
        <row r="12">
          <cell r="D12">
            <v>275982.33</v>
          </cell>
          <cell r="L12">
            <v>0</v>
          </cell>
        </row>
        <row r="13">
          <cell r="D13">
            <v>275581.82</v>
          </cell>
          <cell r="L13">
            <v>0</v>
          </cell>
        </row>
        <row r="14">
          <cell r="D14">
            <v>400.51</v>
          </cell>
          <cell r="L14">
            <v>0</v>
          </cell>
        </row>
        <row r="15">
          <cell r="D15">
            <v>0</v>
          </cell>
          <cell r="L15">
            <v>0</v>
          </cell>
        </row>
        <row r="16">
          <cell r="D16">
            <v>0</v>
          </cell>
          <cell r="L16">
            <v>312</v>
          </cell>
        </row>
        <row r="17">
          <cell r="L17">
            <v>0</v>
          </cell>
        </row>
        <row r="18">
          <cell r="L18">
            <v>0</v>
          </cell>
        </row>
        <row r="19">
          <cell r="D19">
            <v>0</v>
          </cell>
          <cell r="L19">
            <v>0</v>
          </cell>
        </row>
        <row r="20">
          <cell r="D20">
            <v>0</v>
          </cell>
          <cell r="L20">
            <v>0</v>
          </cell>
        </row>
        <row r="22">
          <cell r="D22">
            <v>0</v>
          </cell>
        </row>
        <row r="23">
          <cell r="D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0</v>
          </cell>
        </row>
        <row r="34">
          <cell r="L34">
            <v>0</v>
          </cell>
        </row>
        <row r="36">
          <cell r="L36">
            <v>0</v>
          </cell>
        </row>
        <row r="37">
          <cell r="L37">
            <v>2133997.0699999998</v>
          </cell>
        </row>
        <row r="38">
          <cell r="L38">
            <v>0</v>
          </cell>
        </row>
        <row r="39">
          <cell r="L39">
            <v>0</v>
          </cell>
        </row>
        <row r="40">
          <cell r="L40">
            <v>0</v>
          </cell>
        </row>
        <row r="41">
          <cell r="L41">
            <v>0</v>
          </cell>
        </row>
        <row r="42">
          <cell r="L42">
            <v>0</v>
          </cell>
        </row>
        <row r="43">
          <cell r="L43">
            <v>0</v>
          </cell>
        </row>
        <row r="44">
          <cell r="L44">
            <v>0</v>
          </cell>
        </row>
      </sheetData>
      <sheetData sheetId="3"/>
      <sheetData sheetId="4">
        <row r="5">
          <cell r="D5">
            <v>2017022.85</v>
          </cell>
          <cell r="E5">
            <v>0</v>
          </cell>
          <cell r="F5">
            <v>2017022.85</v>
          </cell>
          <cell r="G5">
            <v>1865854.8</v>
          </cell>
          <cell r="H5">
            <v>1865854.8</v>
          </cell>
          <cell r="I5">
            <v>151168.05000000005</v>
          </cell>
          <cell r="J5">
            <v>1864802.98</v>
          </cell>
          <cell r="K5">
            <v>1051.8200000000652</v>
          </cell>
        </row>
        <row r="6">
          <cell r="D6">
            <v>379701.73</v>
          </cell>
          <cell r="E6">
            <v>-6000</v>
          </cell>
          <cell r="F6">
            <v>373701.73</v>
          </cell>
          <cell r="G6">
            <v>286808.06</v>
          </cell>
          <cell r="H6">
            <v>275982.33</v>
          </cell>
          <cell r="I6">
            <v>97719.399999999965</v>
          </cell>
          <cell r="J6">
            <v>261876.31</v>
          </cell>
          <cell r="K6">
            <v>14106.020000000019</v>
          </cell>
        </row>
        <row r="7">
          <cell r="D7">
            <v>2000</v>
          </cell>
          <cell r="E7">
            <v>0</v>
          </cell>
          <cell r="F7">
            <v>2000</v>
          </cell>
          <cell r="G7">
            <v>0</v>
          </cell>
          <cell r="H7">
            <v>0</v>
          </cell>
          <cell r="I7">
            <v>2000</v>
          </cell>
          <cell r="J7">
            <v>0</v>
          </cell>
          <cell r="K7">
            <v>0</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39900</v>
          </cell>
          <cell r="E10">
            <v>6000</v>
          </cell>
          <cell r="F10">
            <v>45900</v>
          </cell>
          <cell r="G10">
            <v>33215.199999999997</v>
          </cell>
          <cell r="H10">
            <v>33215.199999999997</v>
          </cell>
          <cell r="I10">
            <v>12684.800000000003</v>
          </cell>
          <cell r="J10">
            <v>26639.24</v>
          </cell>
          <cell r="K10">
            <v>6575.9599999999955</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312</v>
          </cell>
          <cell r="H22">
            <v>312</v>
          </cell>
          <cell r="I22">
            <v>0</v>
          </cell>
          <cell r="J22">
            <v>0</v>
          </cell>
        </row>
        <row r="23">
          <cell r="D23">
            <v>2438624.58</v>
          </cell>
          <cell r="E23">
            <v>0</v>
          </cell>
          <cell r="F23">
            <v>2438624.58</v>
          </cell>
          <cell r="G23">
            <v>2133997.0699999998</v>
          </cell>
          <cell r="H23">
            <v>2051474.87</v>
          </cell>
          <cell r="I23">
            <v>0</v>
          </cell>
          <cell r="J23">
            <v>82522.199999999721</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0</v>
          </cell>
        </row>
        <row r="12">
          <cell r="F12">
            <v>0</v>
          </cell>
        </row>
      </sheetData>
      <sheetData sheetId="6">
        <row r="3">
          <cell r="D3">
            <v>89590.78</v>
          </cell>
        </row>
        <row r="4">
          <cell r="D4">
            <v>82522.2</v>
          </cell>
        </row>
        <row r="5">
          <cell r="D5">
            <v>7176.82</v>
          </cell>
        </row>
        <row r="6">
          <cell r="D6">
            <v>1336.32</v>
          </cell>
        </row>
        <row r="7">
          <cell r="D7">
            <v>0</v>
          </cell>
        </row>
        <row r="8">
          <cell r="D8">
            <v>1444.52</v>
          </cell>
        </row>
        <row r="9">
          <cell r="D9">
            <v>0.04</v>
          </cell>
        </row>
        <row r="10">
          <cell r="D10">
            <v>129097.86</v>
          </cell>
        </row>
        <row r="11">
          <cell r="D11">
            <v>21733.8</v>
          </cell>
        </row>
        <row r="12">
          <cell r="D12">
            <v>0</v>
          </cell>
        </row>
        <row r="13">
          <cell r="D13">
            <v>107364.06</v>
          </cell>
        </row>
        <row r="14">
          <cell r="D14">
            <v>0</v>
          </cell>
        </row>
        <row r="15">
          <cell r="D15">
            <v>0</v>
          </cell>
        </row>
        <row r="16">
          <cell r="D16">
            <v>304737.52</v>
          </cell>
        </row>
        <row r="17">
          <cell r="D17">
            <v>0</v>
          </cell>
        </row>
        <row r="18">
          <cell r="D18">
            <v>265230.44</v>
          </cell>
        </row>
        <row r="19">
          <cell r="D19">
            <v>265230.44</v>
          </cell>
        </row>
        <row r="23">
          <cell r="D23">
            <v>2061381.49</v>
          </cell>
        </row>
        <row r="24">
          <cell r="D24">
            <v>2051786.87</v>
          </cell>
        </row>
        <row r="25">
          <cell r="D25">
            <v>0</v>
          </cell>
        </row>
        <row r="26">
          <cell r="D26">
            <v>9594.6199999998789</v>
          </cell>
        </row>
        <row r="27">
          <cell r="D27">
            <v>0</v>
          </cell>
        </row>
        <row r="28">
          <cell r="D28">
            <v>2216483.65</v>
          </cell>
        </row>
        <row r="29">
          <cell r="D29">
            <v>2153318.5300000003</v>
          </cell>
        </row>
        <row r="30">
          <cell r="D30">
            <v>50516</v>
          </cell>
        </row>
        <row r="31">
          <cell r="D31">
            <v>12649.119999999646</v>
          </cell>
        </row>
        <row r="32">
          <cell r="D32">
            <v>0</v>
          </cell>
        </row>
        <row r="33">
          <cell r="D33">
            <v>-155102.15999999992</v>
          </cell>
        </row>
        <row r="34">
          <cell r="D34">
            <v>459839.68</v>
          </cell>
        </row>
        <row r="35">
          <cell r="D35">
            <v>304737.52000000008</v>
          </cell>
        </row>
      </sheetData>
      <sheetData sheetId="7">
        <row r="5">
          <cell r="D5">
            <v>24553.790000000037</v>
          </cell>
          <cell r="E5">
            <v>0</v>
          </cell>
          <cell r="F5">
            <v>24553.790000000037</v>
          </cell>
          <cell r="G5">
            <v>24553.790000000037</v>
          </cell>
          <cell r="H5">
            <v>0</v>
          </cell>
        </row>
        <row r="6">
          <cell r="D6">
            <v>25762.260000000009</v>
          </cell>
          <cell r="E6">
            <v>0</v>
          </cell>
          <cell r="F6">
            <v>25762.260000000009</v>
          </cell>
          <cell r="G6">
            <v>25762.260000000009</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199.94999999999709</v>
          </cell>
          <cell r="E10">
            <v>0</v>
          </cell>
          <cell r="F10">
            <v>199.94999999999709</v>
          </cell>
          <cell r="G10">
            <v>199.94999999999709</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7176.8199999998105</v>
          </cell>
          <cell r="E22">
            <v>0</v>
          </cell>
          <cell r="F22">
            <v>0</v>
          </cell>
          <cell r="G22">
            <v>0</v>
          </cell>
          <cell r="H22">
            <v>7176.8199999998105</v>
          </cell>
          <cell r="I22">
            <v>0</v>
          </cell>
          <cell r="J22">
            <v>0</v>
          </cell>
          <cell r="K22">
            <v>0</v>
          </cell>
          <cell r="L22">
            <v>7176.8199999998105</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27</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1163913.4899999998</v>
          </cell>
          <cell r="L3">
            <v>2593843.6599999997</v>
          </cell>
        </row>
        <row r="4">
          <cell r="D4">
            <v>0</v>
          </cell>
          <cell r="L4">
            <v>506738.44</v>
          </cell>
        </row>
        <row r="5">
          <cell r="D5">
            <v>0</v>
          </cell>
          <cell r="L5">
            <v>506738.44</v>
          </cell>
        </row>
        <row r="6">
          <cell r="D6">
            <v>0</v>
          </cell>
          <cell r="L6">
            <v>0</v>
          </cell>
        </row>
        <row r="7">
          <cell r="D7">
            <v>0</v>
          </cell>
          <cell r="L7">
            <v>0</v>
          </cell>
        </row>
        <row r="8">
          <cell r="D8">
            <v>0</v>
          </cell>
          <cell r="L8">
            <v>0</v>
          </cell>
        </row>
        <row r="9">
          <cell r="D9">
            <v>0</v>
          </cell>
          <cell r="L9">
            <v>0</v>
          </cell>
        </row>
        <row r="10">
          <cell r="D10">
            <v>866721.24</v>
          </cell>
          <cell r="L10">
            <v>0</v>
          </cell>
        </row>
        <row r="11">
          <cell r="D11">
            <v>0</v>
          </cell>
          <cell r="L11">
            <v>0</v>
          </cell>
        </row>
        <row r="12">
          <cell r="D12">
            <v>0</v>
          </cell>
          <cell r="L12">
            <v>2152653.84</v>
          </cell>
        </row>
        <row r="13">
          <cell r="D13">
            <v>349566.97</v>
          </cell>
          <cell r="L13">
            <v>2152653.84</v>
          </cell>
        </row>
        <row r="14">
          <cell r="D14">
            <v>0</v>
          </cell>
          <cell r="L14">
            <v>0</v>
          </cell>
        </row>
        <row r="15">
          <cell r="D15">
            <v>0</v>
          </cell>
          <cell r="L15">
            <v>-65548.62</v>
          </cell>
        </row>
        <row r="16">
          <cell r="D16">
            <v>-217590.54</v>
          </cell>
          <cell r="L16">
            <v>0</v>
          </cell>
        </row>
        <row r="17">
          <cell r="D17">
            <v>734744.81</v>
          </cell>
          <cell r="L17">
            <v>0</v>
          </cell>
        </row>
        <row r="18">
          <cell r="D18">
            <v>297192.24999999988</v>
          </cell>
          <cell r="L18">
            <v>0</v>
          </cell>
        </row>
        <row r="19">
          <cell r="D19">
            <v>38473.22</v>
          </cell>
          <cell r="L19">
            <v>0</v>
          </cell>
        </row>
        <row r="20">
          <cell r="D20">
            <v>21035.65</v>
          </cell>
          <cell r="L20">
            <v>0</v>
          </cell>
        </row>
        <row r="21">
          <cell r="D21">
            <v>0</v>
          </cell>
          <cell r="L21">
            <v>0</v>
          </cell>
        </row>
        <row r="22">
          <cell r="D22">
            <v>770131.19</v>
          </cell>
          <cell r="L22">
            <v>0</v>
          </cell>
        </row>
        <row r="23">
          <cell r="D23">
            <v>-532447.81000000006</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193403.24</v>
          </cell>
        </row>
        <row r="31">
          <cell r="D31">
            <v>1623333.41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928030.30999999994</v>
          </cell>
          <cell r="L39">
            <v>193403.24</v>
          </cell>
        </row>
        <row r="40">
          <cell r="D40">
            <v>913815.61</v>
          </cell>
          <cell r="L40">
            <v>76989.91</v>
          </cell>
        </row>
        <row r="41">
          <cell r="D41">
            <v>370.53</v>
          </cell>
          <cell r="L41">
            <v>1133.3699999999999</v>
          </cell>
        </row>
        <row r="42">
          <cell r="D42">
            <v>0</v>
          </cell>
          <cell r="L42">
            <v>0</v>
          </cell>
        </row>
        <row r="43">
          <cell r="D43">
            <v>11675.2</v>
          </cell>
          <cell r="L43">
            <v>115279.96</v>
          </cell>
        </row>
        <row r="44">
          <cell r="D44">
            <v>2168.9699999999998</v>
          </cell>
          <cell r="L44">
            <v>0</v>
          </cell>
        </row>
        <row r="45">
          <cell r="D45">
            <v>0</v>
          </cell>
          <cell r="L45">
            <v>0</v>
          </cell>
        </row>
        <row r="46">
          <cell r="D46">
            <v>0</v>
          </cell>
          <cell r="L46">
            <v>0</v>
          </cell>
        </row>
        <row r="47">
          <cell r="D47">
            <v>0</v>
          </cell>
          <cell r="L47">
            <v>0</v>
          </cell>
        </row>
        <row r="48">
          <cell r="D48">
            <v>0</v>
          </cell>
          <cell r="L48">
            <v>0</v>
          </cell>
        </row>
        <row r="49">
          <cell r="D49">
            <v>0</v>
          </cell>
          <cell r="L49">
            <v>2787246.8999999994</v>
          </cell>
        </row>
        <row r="50">
          <cell r="D50">
            <v>0</v>
          </cell>
        </row>
        <row r="51">
          <cell r="D51">
            <v>695303.1</v>
          </cell>
        </row>
        <row r="52">
          <cell r="D52">
            <v>0</v>
          </cell>
        </row>
        <row r="53">
          <cell r="D53">
            <v>2787246.8999999994</v>
          </cell>
        </row>
      </sheetData>
      <sheetData sheetId="2">
        <row r="5">
          <cell r="D5">
            <v>1697096.71</v>
          </cell>
          <cell r="L5">
            <v>0</v>
          </cell>
        </row>
        <row r="6">
          <cell r="D6">
            <v>1371568.35</v>
          </cell>
          <cell r="L6">
            <v>0</v>
          </cell>
        </row>
        <row r="7">
          <cell r="D7">
            <v>325528.36</v>
          </cell>
          <cell r="L7">
            <v>0</v>
          </cell>
        </row>
        <row r="8">
          <cell r="D8">
            <v>0</v>
          </cell>
          <cell r="L8">
            <v>0</v>
          </cell>
        </row>
        <row r="9">
          <cell r="D9">
            <v>42056.41</v>
          </cell>
          <cell r="L9">
            <v>0</v>
          </cell>
        </row>
        <row r="10">
          <cell r="D10">
            <v>0</v>
          </cell>
          <cell r="L10">
            <v>0</v>
          </cell>
        </row>
        <row r="11">
          <cell r="L11">
            <v>0</v>
          </cell>
        </row>
        <row r="12">
          <cell r="D12">
            <v>792205.51</v>
          </cell>
          <cell r="L12">
            <v>0</v>
          </cell>
        </row>
        <row r="13">
          <cell r="D13">
            <v>792205.51</v>
          </cell>
          <cell r="L13">
            <v>0</v>
          </cell>
        </row>
        <row r="14">
          <cell r="D14">
            <v>0</v>
          </cell>
          <cell r="L14">
            <v>0</v>
          </cell>
        </row>
        <row r="15">
          <cell r="D15">
            <v>0</v>
          </cell>
          <cell r="L15">
            <v>0</v>
          </cell>
        </row>
        <row r="16">
          <cell r="D16">
            <v>0</v>
          </cell>
          <cell r="L16">
            <v>0</v>
          </cell>
        </row>
        <row r="17">
          <cell r="L17">
            <v>0</v>
          </cell>
        </row>
        <row r="18">
          <cell r="L18">
            <v>0</v>
          </cell>
        </row>
        <row r="19">
          <cell r="D19">
            <v>0</v>
          </cell>
          <cell r="L19">
            <v>0</v>
          </cell>
        </row>
        <row r="20">
          <cell r="D20">
            <v>0</v>
          </cell>
          <cell r="L20">
            <v>10217.49</v>
          </cell>
        </row>
        <row r="22">
          <cell r="D22">
            <v>182300.19</v>
          </cell>
        </row>
        <row r="23">
          <cell r="D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1431.62</v>
          </cell>
        </row>
        <row r="34">
          <cell r="L34">
            <v>0</v>
          </cell>
        </row>
        <row r="36">
          <cell r="L36">
            <v>0</v>
          </cell>
        </row>
        <row r="37">
          <cell r="L37">
            <v>2502801.09</v>
          </cell>
        </row>
        <row r="38">
          <cell r="L38">
            <v>0</v>
          </cell>
        </row>
        <row r="39">
          <cell r="L39">
            <v>133660</v>
          </cell>
        </row>
        <row r="40">
          <cell r="L40">
            <v>0</v>
          </cell>
        </row>
        <row r="41">
          <cell r="L41">
            <v>0</v>
          </cell>
        </row>
        <row r="42">
          <cell r="L42">
            <v>0</v>
          </cell>
        </row>
        <row r="43">
          <cell r="L43">
            <v>0</v>
          </cell>
        </row>
        <row r="44">
          <cell r="L44">
            <v>0</v>
          </cell>
        </row>
      </sheetData>
      <sheetData sheetId="3"/>
      <sheetData sheetId="4">
        <row r="5">
          <cell r="D5">
            <v>1786350</v>
          </cell>
          <cell r="E5">
            <v>-37698.32</v>
          </cell>
          <cell r="F5">
            <v>1748651.68</v>
          </cell>
          <cell r="G5">
            <v>1742367.32</v>
          </cell>
          <cell r="H5">
            <v>1697096.71</v>
          </cell>
          <cell r="I5">
            <v>51554.969999999972</v>
          </cell>
          <cell r="J5">
            <v>1697096.71</v>
          </cell>
          <cell r="K5">
            <v>0</v>
          </cell>
        </row>
        <row r="6">
          <cell r="D6">
            <v>917750</v>
          </cell>
          <cell r="E6">
            <v>930177.89</v>
          </cell>
          <cell r="F6">
            <v>1847927.8900000001</v>
          </cell>
          <cell r="G6">
            <v>865498.56</v>
          </cell>
          <cell r="H6">
            <v>792205.51</v>
          </cell>
          <cell r="I6">
            <v>1055722.3800000001</v>
          </cell>
          <cell r="J6">
            <v>761695.6</v>
          </cell>
          <cell r="K6">
            <v>30509.910000000033</v>
          </cell>
        </row>
        <row r="7">
          <cell r="D7">
            <v>3000</v>
          </cell>
          <cell r="E7">
            <v>-3000</v>
          </cell>
          <cell r="F7">
            <v>0</v>
          </cell>
          <cell r="G7">
            <v>0</v>
          </cell>
          <cell r="H7">
            <v>0</v>
          </cell>
          <cell r="I7">
            <v>0</v>
          </cell>
          <cell r="J7">
            <v>0</v>
          </cell>
          <cell r="K7">
            <v>0</v>
          </cell>
        </row>
        <row r="8">
          <cell r="D8">
            <v>203000</v>
          </cell>
          <cell r="E8">
            <v>83968.56</v>
          </cell>
          <cell r="F8">
            <v>286968.56</v>
          </cell>
          <cell r="G8">
            <v>253400.18</v>
          </cell>
          <cell r="H8">
            <v>182300.19</v>
          </cell>
          <cell r="I8">
            <v>104668.37</v>
          </cell>
          <cell r="J8">
            <v>174300.19</v>
          </cell>
          <cell r="K8">
            <v>8000</v>
          </cell>
        </row>
        <row r="9">
          <cell r="D9">
            <v>0</v>
          </cell>
          <cell r="E9">
            <v>0</v>
          </cell>
          <cell r="F9">
            <v>0</v>
          </cell>
          <cell r="G9">
            <v>0</v>
          </cell>
          <cell r="H9">
            <v>0</v>
          </cell>
          <cell r="I9">
            <v>0</v>
          </cell>
          <cell r="J9">
            <v>0</v>
          </cell>
          <cell r="K9">
            <v>0</v>
          </cell>
        </row>
        <row r="10">
          <cell r="D10">
            <v>133660</v>
          </cell>
          <cell r="E10">
            <v>179336.83</v>
          </cell>
          <cell r="F10">
            <v>312996.82999999996</v>
          </cell>
          <cell r="G10">
            <v>145791.47</v>
          </cell>
          <cell r="H10">
            <v>102161.59</v>
          </cell>
          <cell r="I10">
            <v>210835.23999999996</v>
          </cell>
          <cell r="J10">
            <v>63681.59</v>
          </cell>
          <cell r="K10">
            <v>38480</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2500</v>
          </cell>
          <cell r="E22">
            <v>0</v>
          </cell>
          <cell r="F22">
            <v>2500</v>
          </cell>
          <cell r="G22">
            <v>10217.49</v>
          </cell>
          <cell r="H22">
            <v>2701.47</v>
          </cell>
          <cell r="I22">
            <v>0</v>
          </cell>
          <cell r="J22">
            <v>7516.02</v>
          </cell>
        </row>
        <row r="23">
          <cell r="D23">
            <v>2905600</v>
          </cell>
          <cell r="E23">
            <v>0</v>
          </cell>
          <cell r="F23">
            <v>2905600</v>
          </cell>
          <cell r="G23">
            <v>2502801.09</v>
          </cell>
          <cell r="H23">
            <v>1631663.69</v>
          </cell>
          <cell r="I23">
            <v>0</v>
          </cell>
          <cell r="J23">
            <v>871137.39999999991</v>
          </cell>
        </row>
        <row r="24">
          <cell r="D24">
            <v>2000</v>
          </cell>
          <cell r="E24">
            <v>0</v>
          </cell>
          <cell r="F24">
            <v>2000</v>
          </cell>
          <cell r="G24">
            <v>1431.62</v>
          </cell>
          <cell r="H24">
            <v>1431.62</v>
          </cell>
          <cell r="I24">
            <v>0</v>
          </cell>
          <cell r="J24">
            <v>0</v>
          </cell>
        </row>
        <row r="25">
          <cell r="D25">
            <v>0</v>
          </cell>
          <cell r="E25">
            <v>0</v>
          </cell>
          <cell r="F25">
            <v>0</v>
          </cell>
          <cell r="G25">
            <v>0</v>
          </cell>
          <cell r="H25">
            <v>0</v>
          </cell>
          <cell r="I25">
            <v>0</v>
          </cell>
          <cell r="J25">
            <v>0</v>
          </cell>
        </row>
        <row r="26">
          <cell r="D26">
            <v>133660</v>
          </cell>
          <cell r="E26">
            <v>0</v>
          </cell>
          <cell r="F26">
            <v>133660</v>
          </cell>
          <cell r="G26">
            <v>133660</v>
          </cell>
          <cell r="H26">
            <v>100245.04</v>
          </cell>
          <cell r="I26">
            <v>0</v>
          </cell>
          <cell r="J26">
            <v>33414.960000000006</v>
          </cell>
        </row>
        <row r="27">
          <cell r="D27"/>
          <cell r="E27">
            <v>1152784.96</v>
          </cell>
          <cell r="F27">
            <v>1152784.96</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cell r="E8"/>
        </row>
        <row r="10">
          <cell r="F10">
            <v>1152784.96</v>
          </cell>
        </row>
        <row r="11">
          <cell r="F11"/>
        </row>
        <row r="12">
          <cell r="F12">
            <v>0</v>
          </cell>
        </row>
      </sheetData>
      <sheetData sheetId="6">
        <row r="3">
          <cell r="D3">
            <v>925861.34</v>
          </cell>
        </row>
        <row r="4">
          <cell r="D4">
            <v>912068.38</v>
          </cell>
        </row>
        <row r="5">
          <cell r="D5">
            <v>1747.23</v>
          </cell>
        </row>
        <row r="6">
          <cell r="D6">
            <v>12045.73</v>
          </cell>
        </row>
        <row r="7">
          <cell r="D7">
            <v>0</v>
          </cell>
        </row>
        <row r="8">
          <cell r="D8">
            <v>0</v>
          </cell>
        </row>
        <row r="9">
          <cell r="D9">
            <v>0</v>
          </cell>
        </row>
        <row r="10">
          <cell r="D10">
            <v>191234.27</v>
          </cell>
        </row>
        <row r="11">
          <cell r="D11">
            <v>76989.91</v>
          </cell>
        </row>
        <row r="12">
          <cell r="D12">
            <v>0</v>
          </cell>
        </row>
        <row r="13">
          <cell r="D13">
            <v>116413.33</v>
          </cell>
        </row>
        <row r="14">
          <cell r="D14"/>
        </row>
        <row r="15">
          <cell r="D15">
            <v>2168.9699999999998</v>
          </cell>
        </row>
        <row r="16">
          <cell r="D16">
            <v>695303.1</v>
          </cell>
        </row>
        <row r="17">
          <cell r="D17">
            <v>0</v>
          </cell>
        </row>
        <row r="18">
          <cell r="D18">
            <v>1429930.17</v>
          </cell>
        </row>
        <row r="19">
          <cell r="D19">
            <v>1429930.17</v>
          </cell>
        </row>
        <row r="23">
          <cell r="D23">
            <v>3190878.6399999997</v>
          </cell>
        </row>
        <row r="24">
          <cell r="D24">
            <v>1736041.8199999996</v>
          </cell>
        </row>
        <row r="25">
          <cell r="D25">
            <v>997561.51000000013</v>
          </cell>
        </row>
        <row r="26">
          <cell r="D26">
            <v>457275.31</v>
          </cell>
        </row>
        <row r="27">
          <cell r="D27">
            <v>0</v>
          </cell>
        </row>
        <row r="28">
          <cell r="D28">
            <v>3179800.0500000003</v>
          </cell>
        </row>
        <row r="29">
          <cell r="D29">
            <v>2696774.0900000003</v>
          </cell>
        </row>
        <row r="30">
          <cell r="D30">
            <v>37057.859999999942</v>
          </cell>
        </row>
        <row r="31">
          <cell r="D31">
            <v>445968.1</v>
          </cell>
        </row>
        <row r="32">
          <cell r="D32">
            <v>0</v>
          </cell>
        </row>
        <row r="33">
          <cell r="D33">
            <v>11078.589999999385</v>
          </cell>
        </row>
        <row r="34">
          <cell r="D34">
            <v>684224.51</v>
          </cell>
        </row>
        <row r="35">
          <cell r="D35">
            <v>695303.09999999939</v>
          </cell>
        </row>
      </sheetData>
      <sheetData sheetId="7">
        <row r="5">
          <cell r="D5">
            <v>0</v>
          </cell>
          <cell r="E5">
            <v>0</v>
          </cell>
          <cell r="F5">
            <v>0</v>
          </cell>
          <cell r="G5">
            <v>0</v>
          </cell>
          <cell r="H5">
            <v>0</v>
          </cell>
        </row>
        <row r="6">
          <cell r="D6">
            <v>27813.939999999944</v>
          </cell>
          <cell r="E6">
            <v>0</v>
          </cell>
          <cell r="F6">
            <v>27813.939999999944</v>
          </cell>
          <cell r="G6">
            <v>27813.939999999944</v>
          </cell>
          <cell r="H6">
            <v>0</v>
          </cell>
        </row>
        <row r="7">
          <cell r="D7">
            <v>0</v>
          </cell>
          <cell r="E7">
            <v>0</v>
          </cell>
          <cell r="F7">
            <v>0</v>
          </cell>
          <cell r="G7">
            <v>0</v>
          </cell>
          <cell r="H7">
            <v>0</v>
          </cell>
        </row>
        <row r="8">
          <cell r="D8">
            <v>4500</v>
          </cell>
          <cell r="E8">
            <v>0</v>
          </cell>
          <cell r="F8">
            <v>4500</v>
          </cell>
          <cell r="G8">
            <v>4500</v>
          </cell>
          <cell r="H8">
            <v>0</v>
          </cell>
        </row>
        <row r="9">
          <cell r="D9">
            <v>4743.9199999999983</v>
          </cell>
          <cell r="E9">
            <v>0</v>
          </cell>
          <cell r="F9">
            <v>4743.9199999999983</v>
          </cell>
          <cell r="G9">
            <v>4743.9199999999983</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3714.7200000000003</v>
          </cell>
          <cell r="E21">
            <v>0</v>
          </cell>
          <cell r="F21">
            <v>0</v>
          </cell>
          <cell r="G21">
            <v>0</v>
          </cell>
          <cell r="H21">
            <v>3714.7200000000003</v>
          </cell>
          <cell r="I21">
            <v>1967.49</v>
          </cell>
          <cell r="J21">
            <v>0</v>
          </cell>
          <cell r="K21">
            <v>0</v>
          </cell>
          <cell r="L21">
            <v>1747.2300000000002</v>
          </cell>
        </row>
        <row r="22">
          <cell r="D22">
            <v>928962.35000000009</v>
          </cell>
          <cell r="E22">
            <v>0</v>
          </cell>
          <cell r="F22">
            <v>0</v>
          </cell>
          <cell r="G22">
            <v>0</v>
          </cell>
          <cell r="H22">
            <v>928962.35000000009</v>
          </cell>
          <cell r="I22">
            <v>928962.35000000009</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66631.670000000013</v>
          </cell>
          <cell r="E25">
            <v>0</v>
          </cell>
          <cell r="F25">
            <v>0</v>
          </cell>
          <cell r="G25">
            <v>0</v>
          </cell>
          <cell r="H25">
            <v>66631.670000000013</v>
          </cell>
          <cell r="I25">
            <v>66631.670000000013</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31</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8100"/>
    </sheetNames>
    <sheetDataSet>
      <sheetData sheetId="0"/>
      <sheetData sheetId="1"/>
      <sheetData sheetId="2"/>
      <sheetData sheetId="3"/>
      <sheetData sheetId="4"/>
      <sheetData sheetId="5">
        <row r="5">
          <cell r="E5">
            <v>0</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8100"/>
    </sheetNames>
    <sheetDataSet>
      <sheetData sheetId="0"/>
      <sheetData sheetId="1"/>
      <sheetData sheetId="2"/>
      <sheetData sheetId="3"/>
      <sheetData sheetId="4"/>
      <sheetData sheetId="5">
        <row r="5">
          <cell r="E5">
            <v>0</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cols>
    <col min="1" max="16384" width="11.42578125" style="224"/>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6"/>
  <sheetViews>
    <sheetView tabSelected="1" zoomScale="75" workbookViewId="0"/>
  </sheetViews>
  <sheetFormatPr baseColWidth="10" defaultColWidth="11.42578125" defaultRowHeight="12.75"/>
  <cols>
    <col min="1" max="1" width="63.7109375" style="3" customWidth="1"/>
    <col min="2" max="2" width="86.7109375" style="86" customWidth="1"/>
    <col min="3" max="16384" width="11.42578125" style="3"/>
  </cols>
  <sheetData>
    <row r="1" spans="1:207" customFormat="1" ht="60" customHeight="1">
      <c r="A1" s="5"/>
      <c r="B1" s="7" t="str">
        <f>"EJERCICIO    "&amp;Balance!N1</f>
        <v>EJERCICIO    2016</v>
      </c>
      <c r="C1" s="9"/>
      <c r="D1" s="9"/>
      <c r="E1" s="9"/>
      <c r="F1" s="9"/>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row>
    <row r="2" spans="1:207" customFormat="1" ht="12.95" customHeight="1" thickBot="1">
      <c r="A2" s="5"/>
      <c r="B2" s="6"/>
      <c r="C2" s="9"/>
      <c r="D2" s="9"/>
      <c r="E2" s="9"/>
      <c r="F2" s="9"/>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row>
    <row r="3" spans="1:207" customFormat="1" ht="33" customHeight="1">
      <c r="A3" s="70" t="str">
        <f>"                                            "&amp;"LES CORTS Y RESTO DE INSTITUCIONES DE LA GENERALITAT"</f>
        <v xml:space="preserve">                                            LES CORTS Y RESTO DE INSTITUCIONES DE LA GENERALITAT</v>
      </c>
      <c r="B3" s="10"/>
      <c r="C3" s="9"/>
      <c r="D3" s="9"/>
      <c r="E3" s="9"/>
      <c r="F3" s="9"/>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row>
    <row r="4" spans="1:207" customFormat="1" ht="20.100000000000001" customHeight="1">
      <c r="A4" s="14" t="str">
        <f>"AGREGADO"</f>
        <v>AGREGADO</v>
      </c>
      <c r="B4" s="74"/>
      <c r="C4" s="9"/>
      <c r="D4" s="9"/>
      <c r="E4" s="9"/>
      <c r="F4" s="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row>
    <row r="5" spans="1:207" customFormat="1" ht="18" customHeight="1" thickBot="1">
      <c r="A5" s="18"/>
      <c r="B5" s="44"/>
      <c r="C5" s="9"/>
      <c r="D5" s="9"/>
      <c r="E5" s="9"/>
      <c r="F5" s="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row>
    <row r="6" spans="1:207" customFormat="1" ht="15" customHeight="1">
      <c r="A6" s="20"/>
      <c r="B6" s="21"/>
      <c r="C6" s="9"/>
      <c r="D6" s="9"/>
      <c r="E6" s="9"/>
      <c r="F6" s="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row>
    <row r="7" spans="1:207" customFormat="1" ht="12.95" customHeight="1" thickBot="1">
      <c r="A7" s="20"/>
      <c r="B7" s="21"/>
      <c r="C7" s="21"/>
      <c r="D7" s="21"/>
      <c r="E7" s="21"/>
      <c r="F7" s="51"/>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row>
    <row r="8" spans="1:207" customFormat="1" ht="33" customHeight="1">
      <c r="A8" s="75" t="s">
        <v>36</v>
      </c>
      <c r="B8" s="76"/>
      <c r="C8" s="21"/>
      <c r="D8" s="21"/>
      <c r="E8" s="21"/>
      <c r="F8" s="51"/>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row>
    <row r="9" spans="1:207" customFormat="1" ht="12.95" customHeight="1">
      <c r="A9" s="21"/>
      <c r="B9" s="21"/>
      <c r="C9" s="21"/>
      <c r="D9" s="21"/>
      <c r="E9" s="21"/>
      <c r="F9" s="51"/>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row>
    <row r="10" spans="1:207" ht="18" customHeight="1">
      <c r="A10" s="1" t="s">
        <v>37</v>
      </c>
      <c r="B10" s="77" t="s">
        <v>486</v>
      </c>
    </row>
    <row r="11" spans="1:207" ht="18" customHeight="1">
      <c r="A11" s="1" t="s">
        <v>38</v>
      </c>
      <c r="B11" s="77" t="s">
        <v>61</v>
      </c>
    </row>
    <row r="12" spans="1:207" ht="18" customHeight="1">
      <c r="A12" s="1" t="s">
        <v>47</v>
      </c>
      <c r="B12" s="77" t="s">
        <v>487</v>
      </c>
    </row>
    <row r="13" spans="1:207" ht="18" customHeight="1">
      <c r="A13" s="1"/>
      <c r="B13" s="77"/>
    </row>
    <row r="14" spans="1:207" ht="18" customHeight="1">
      <c r="A14" s="1" t="s">
        <v>453</v>
      </c>
      <c r="B14" s="201">
        <f>COUNTA('Entidades agregadas'!A14:A119)</f>
        <v>7</v>
      </c>
    </row>
    <row r="15" spans="1:207" ht="18" customHeight="1">
      <c r="A15" s="1" t="s">
        <v>454</v>
      </c>
      <c r="B15" s="201">
        <v>0</v>
      </c>
    </row>
    <row r="16" spans="1:207" ht="12.95" customHeight="1" thickBot="1">
      <c r="A16" s="78"/>
      <c r="B16" s="79"/>
    </row>
    <row r="17" spans="1:2" ht="12.95" customHeight="1">
      <c r="A17" s="1"/>
      <c r="B17" s="80"/>
    </row>
    <row r="18" spans="1:2" ht="12.95" customHeight="1">
      <c r="A18" s="1"/>
      <c r="B18" s="80"/>
    </row>
    <row r="19" spans="1:2" ht="12.95" customHeight="1">
      <c r="A19" s="1"/>
      <c r="B19" s="80"/>
    </row>
    <row r="20" spans="1:2" ht="12.95" customHeight="1" thickBot="1">
      <c r="A20" s="1"/>
      <c r="B20" s="80"/>
    </row>
    <row r="21" spans="1:2" ht="33" customHeight="1">
      <c r="A21" s="75" t="s">
        <v>39</v>
      </c>
      <c r="B21" s="76"/>
    </row>
    <row r="22" spans="1:2" ht="12.95" customHeight="1">
      <c r="B22" s="3"/>
    </row>
    <row r="23" spans="1:2" ht="18" customHeight="1">
      <c r="A23" s="1" t="s">
        <v>40</v>
      </c>
      <c r="B23" s="77" t="s">
        <v>48</v>
      </c>
    </row>
    <row r="24" spans="1:2" ht="18" customHeight="1">
      <c r="A24" s="1" t="s">
        <v>41</v>
      </c>
      <c r="B24" s="77" t="s">
        <v>49</v>
      </c>
    </row>
    <row r="25" spans="1:2" ht="12.95" customHeight="1" thickBot="1">
      <c r="A25" s="78"/>
      <c r="B25" s="79"/>
    </row>
    <row r="26" spans="1:2" ht="12.95" customHeight="1">
      <c r="A26" s="1"/>
      <c r="B26" s="80"/>
    </row>
    <row r="27" spans="1:2" ht="12.95" customHeight="1">
      <c r="A27" s="1"/>
      <c r="B27" s="80"/>
    </row>
    <row r="28" spans="1:2" ht="12.95" customHeight="1">
      <c r="A28" s="1"/>
      <c r="B28" s="80"/>
    </row>
    <row r="29" spans="1:2" ht="12.95" customHeight="1" thickBot="1">
      <c r="A29" s="81"/>
      <c r="B29" s="82"/>
    </row>
    <row r="30" spans="1:2" ht="33" customHeight="1">
      <c r="A30" s="75" t="s">
        <v>42</v>
      </c>
      <c r="B30" s="76"/>
    </row>
    <row r="31" spans="1:2" ht="12.95" customHeight="1">
      <c r="B31" s="3"/>
    </row>
    <row r="32" spans="1:2" ht="12.95" customHeight="1">
      <c r="A32" s="83"/>
      <c r="B32" s="225" t="s">
        <v>420</v>
      </c>
    </row>
    <row r="33" spans="1:2" ht="18" customHeight="1">
      <c r="A33" s="83"/>
      <c r="B33" s="225"/>
    </row>
    <row r="34" spans="1:2" ht="18" customHeight="1">
      <c r="A34" s="83"/>
      <c r="B34" s="225"/>
    </row>
    <row r="35" spans="1:2" ht="18" customHeight="1">
      <c r="A35" s="83"/>
      <c r="B35" s="225"/>
    </row>
    <row r="36" spans="1:2" ht="18" customHeight="1">
      <c r="A36" s="83"/>
      <c r="B36" s="225"/>
    </row>
    <row r="37" spans="1:2" ht="18" customHeight="1">
      <c r="A37" s="83"/>
      <c r="B37" s="225"/>
    </row>
    <row r="38" spans="1:2" ht="13.5" customHeight="1" thickBot="1">
      <c r="A38" s="78"/>
      <c r="B38" s="84"/>
    </row>
    <row r="39" spans="1:2" ht="12.95" customHeight="1">
      <c r="A39" s="83"/>
      <c r="B39" s="77"/>
    </row>
    <row r="40" spans="1:2" ht="12.95" customHeight="1">
      <c r="A40" s="83"/>
      <c r="B40" s="77"/>
    </row>
    <row r="41" spans="1:2" ht="12.95" customHeight="1">
      <c r="A41" s="83"/>
      <c r="B41" s="77"/>
    </row>
    <row r="42" spans="1:2" ht="12.95" customHeight="1" thickBot="1">
      <c r="A42" s="83"/>
      <c r="B42" s="82"/>
    </row>
    <row r="43" spans="1:2" ht="33" customHeight="1">
      <c r="A43" s="75" t="s">
        <v>43</v>
      </c>
      <c r="B43" s="76"/>
    </row>
    <row r="44" spans="1:2" ht="12.95" customHeight="1">
      <c r="B44" s="3"/>
    </row>
    <row r="45" spans="1:2" ht="18" customHeight="1">
      <c r="A45" s="1"/>
      <c r="B45" s="225" t="s">
        <v>488</v>
      </c>
    </row>
    <row r="46" spans="1:2" ht="18" customHeight="1">
      <c r="A46" s="81"/>
      <c r="B46" s="225"/>
    </row>
    <row r="47" spans="1:2" ht="18" customHeight="1">
      <c r="A47" s="81"/>
      <c r="B47" s="225"/>
    </row>
    <row r="48" spans="1:2" ht="18" customHeight="1">
      <c r="A48" s="81"/>
      <c r="B48" s="225"/>
    </row>
    <row r="49" spans="1:2" ht="18" customHeight="1">
      <c r="A49" s="81"/>
      <c r="B49" s="225"/>
    </row>
    <row r="50" spans="1:2" ht="18" customHeight="1">
      <c r="A50" s="81"/>
      <c r="B50" s="225"/>
    </row>
    <row r="51" spans="1:2" ht="18" customHeight="1">
      <c r="A51" s="81"/>
      <c r="B51" s="225"/>
    </row>
    <row r="52" spans="1:2" ht="18" customHeight="1">
      <c r="A52" s="81"/>
      <c r="B52" s="225"/>
    </row>
    <row r="53" spans="1:2" ht="12.95" customHeight="1" thickBot="1">
      <c r="A53" s="85"/>
      <c r="B53" s="85"/>
    </row>
    <row r="55" spans="1:2" ht="18" customHeight="1">
      <c r="A55" s="60" t="s">
        <v>455</v>
      </c>
    </row>
    <row r="56" spans="1:2" ht="18" customHeight="1">
      <c r="A56" s="31" t="s">
        <v>456</v>
      </c>
      <c r="B56" s="31" t="s">
        <v>457</v>
      </c>
    </row>
  </sheetData>
  <mergeCells count="2">
    <mergeCell ref="B45:B52"/>
    <mergeCell ref="B32:B37"/>
  </mergeCells>
  <phoneticPr fontId="1" type="noConversion"/>
  <printOptions horizontalCentered="1"/>
  <pageMargins left="0.31496062992125984" right="0.31496062992125984" top="0.59055118110236227" bottom="0.59055118110236227" header="0" footer="0"/>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V97"/>
  <sheetViews>
    <sheetView zoomScale="75" workbookViewId="0"/>
  </sheetViews>
  <sheetFormatPr baseColWidth="10" defaultColWidth="11.42578125" defaultRowHeight="12.75"/>
  <cols>
    <col min="1" max="1" width="70" style="3" customWidth="1"/>
    <col min="2" max="2" width="18" style="26" customWidth="1"/>
    <col min="3" max="3" width="19" style="26" customWidth="1"/>
    <col min="4" max="10" width="19" style="26" hidden="1" customWidth="1"/>
    <col min="11" max="11" width="4.5703125" style="3" customWidth="1"/>
    <col min="12" max="12" width="66.28515625" style="3" customWidth="1"/>
    <col min="13" max="13" width="18" style="26" customWidth="1"/>
    <col min="14" max="14" width="9.7109375" style="3" customWidth="1"/>
    <col min="15" max="21" width="11.42578125" style="3" hidden="1" customWidth="1"/>
    <col min="22" max="16384" width="11.42578125" style="3"/>
  </cols>
  <sheetData>
    <row r="1" spans="1:21" s="2" customFormat="1" ht="60" customHeight="1">
      <c r="A1" s="5"/>
      <c r="B1" s="6"/>
      <c r="C1" s="6"/>
      <c r="D1" s="6"/>
      <c r="E1" s="6"/>
      <c r="F1" s="6"/>
      <c r="G1" s="6"/>
      <c r="H1" s="6"/>
      <c r="I1" s="6"/>
      <c r="J1" s="6"/>
      <c r="K1" s="6"/>
      <c r="L1" s="6"/>
      <c r="M1" s="7" t="s">
        <v>11</v>
      </c>
      <c r="N1" s="8">
        <v>2016</v>
      </c>
    </row>
    <row r="2" spans="1:21" s="2" customFormat="1" ht="12.95" customHeight="1" thickBot="1">
      <c r="A2" s="5"/>
      <c r="B2" s="6"/>
      <c r="C2" s="6"/>
      <c r="D2" s="6"/>
      <c r="E2" s="6"/>
      <c r="F2" s="6"/>
      <c r="G2" s="6"/>
      <c r="H2" s="6"/>
      <c r="I2" s="6"/>
      <c r="J2" s="6"/>
      <c r="K2" s="6"/>
      <c r="L2" s="6"/>
      <c r="M2" s="9"/>
      <c r="N2" s="9"/>
    </row>
    <row r="3" spans="1:21" s="2" customFormat="1" ht="33" customHeight="1">
      <c r="A3" s="70" t="str">
        <f>"                                            "&amp;"LES CORTS Y RESTO DE INSTITUCIONES DE LA GENERALITAT"</f>
        <v xml:space="preserve">                                            LES CORTS Y RESTO DE INSTITUCIONES DE LA GENERALITAT</v>
      </c>
      <c r="B3" s="10"/>
      <c r="C3" s="10"/>
      <c r="D3" s="10"/>
      <c r="E3" s="10"/>
      <c r="F3" s="10"/>
      <c r="G3" s="10"/>
      <c r="H3" s="10"/>
      <c r="I3" s="10"/>
      <c r="J3" s="10"/>
      <c r="K3" s="11"/>
      <c r="L3" s="11"/>
      <c r="M3" s="12"/>
      <c r="N3" s="13"/>
    </row>
    <row r="4" spans="1:21" s="2" customFormat="1" ht="20.100000000000001" customHeight="1">
      <c r="A4" s="14" t="str">
        <f>"AGREGADO"</f>
        <v>AGREGADO</v>
      </c>
      <c r="B4" s="15"/>
      <c r="C4" s="15"/>
      <c r="D4" s="15"/>
      <c r="E4" s="15"/>
      <c r="F4" s="15"/>
      <c r="G4" s="15"/>
      <c r="H4" s="15"/>
      <c r="I4" s="15"/>
      <c r="J4" s="15"/>
      <c r="K4" s="14"/>
      <c r="L4" s="14"/>
      <c r="M4" s="16"/>
      <c r="N4" s="17"/>
    </row>
    <row r="5" spans="1:21" s="2" customFormat="1" ht="18" customHeight="1" thickBot="1">
      <c r="A5" s="18"/>
      <c r="B5" s="19"/>
      <c r="C5" s="19"/>
      <c r="D5" s="19"/>
      <c r="E5" s="19"/>
      <c r="F5" s="19"/>
      <c r="G5" s="19"/>
      <c r="H5" s="19"/>
      <c r="I5" s="19"/>
      <c r="J5" s="19"/>
      <c r="K5" s="19"/>
      <c r="L5" s="71" t="str">
        <f>"Población a 01/01/"&amp;N1</f>
        <v>Población a 01/01/2016</v>
      </c>
      <c r="M5" s="226">
        <v>4959968</v>
      </c>
      <c r="N5" s="226"/>
    </row>
    <row r="6" spans="1:21" s="2" customFormat="1" ht="15" customHeight="1">
      <c r="A6" s="20"/>
      <c r="B6" s="21"/>
      <c r="C6" s="21"/>
      <c r="D6" s="21"/>
      <c r="E6" s="21"/>
      <c r="F6" s="21"/>
      <c r="G6" s="21"/>
      <c r="H6" s="21"/>
      <c r="I6" s="21"/>
      <c r="J6" s="21"/>
      <c r="K6" s="21"/>
      <c r="L6" s="22"/>
      <c r="M6" s="16"/>
      <c r="N6" s="16"/>
    </row>
    <row r="7" spans="1:21" s="2" customFormat="1" ht="12.95" customHeight="1">
      <c r="A7" s="20"/>
      <c r="B7" s="21"/>
      <c r="C7" s="21"/>
      <c r="D7" s="21"/>
      <c r="E7" s="21"/>
      <c r="F7" s="21"/>
      <c r="G7" s="21"/>
      <c r="H7" s="21"/>
      <c r="I7" s="21"/>
      <c r="J7" s="21"/>
      <c r="K7" s="21"/>
      <c r="L7" s="21"/>
      <c r="M7" s="21"/>
      <c r="N7" s="21"/>
    </row>
    <row r="8" spans="1:21" s="2" customFormat="1" ht="21" customHeight="1">
      <c r="A8" s="23" t="s">
        <v>15</v>
      </c>
      <c r="B8" s="21"/>
      <c r="C8" s="21"/>
      <c r="D8" s="21"/>
      <c r="E8" s="21"/>
      <c r="F8" s="21"/>
      <c r="G8" s="21"/>
      <c r="H8" s="21"/>
      <c r="I8" s="21"/>
      <c r="J8" s="21"/>
      <c r="K8" s="21"/>
      <c r="L8" s="21"/>
      <c r="M8" s="21"/>
      <c r="N8" s="21"/>
    </row>
    <row r="9" spans="1:21" s="2" customFormat="1" ht="18" customHeight="1">
      <c r="A9" s="24"/>
      <c r="B9" s="21"/>
      <c r="C9" s="21"/>
      <c r="D9" s="21"/>
      <c r="E9" s="21"/>
      <c r="F9" s="21"/>
      <c r="G9" s="21"/>
      <c r="H9" s="21"/>
      <c r="I9" s="21"/>
      <c r="J9" s="21"/>
      <c r="K9" s="21"/>
      <c r="L9" s="21"/>
      <c r="M9" s="21"/>
      <c r="N9" s="21"/>
    </row>
    <row r="10" spans="1:21" s="2" customFormat="1" ht="12.95" customHeight="1">
      <c r="A10" s="23"/>
      <c r="B10" s="21"/>
      <c r="C10" s="21"/>
      <c r="D10" s="41">
        <v>11200</v>
      </c>
      <c r="E10" s="41">
        <v>11201</v>
      </c>
      <c r="F10" s="41">
        <v>11202</v>
      </c>
      <c r="G10" s="41">
        <v>11203</v>
      </c>
      <c r="H10" s="41">
        <v>11204</v>
      </c>
      <c r="I10" s="41">
        <v>11205</v>
      </c>
      <c r="J10" s="41">
        <v>11206</v>
      </c>
      <c r="K10" s="21"/>
      <c r="L10" s="21"/>
      <c r="M10" s="21"/>
      <c r="N10" s="21"/>
      <c r="O10" s="41">
        <v>11200</v>
      </c>
      <c r="P10" s="41">
        <v>11201</v>
      </c>
      <c r="Q10" s="41">
        <v>11202</v>
      </c>
      <c r="R10" s="41">
        <v>11203</v>
      </c>
      <c r="S10" s="41">
        <v>11204</v>
      </c>
      <c r="T10" s="41">
        <v>11205</v>
      </c>
      <c r="U10" s="41">
        <v>11206</v>
      </c>
    </row>
    <row r="11" spans="1:21" ht="18" customHeight="1" thickBot="1">
      <c r="A11" s="25" t="s">
        <v>12</v>
      </c>
      <c r="B11" s="17"/>
      <c r="C11" s="17"/>
      <c r="D11" s="41" t="s">
        <v>10</v>
      </c>
      <c r="E11" s="41" t="s">
        <v>10</v>
      </c>
      <c r="F11" s="41" t="s">
        <v>10</v>
      </c>
      <c r="G11" s="41" t="s">
        <v>10</v>
      </c>
      <c r="H11" s="41" t="s">
        <v>10</v>
      </c>
      <c r="I11" s="41" t="s">
        <v>10</v>
      </c>
      <c r="J11" s="41" t="s">
        <v>10</v>
      </c>
      <c r="K11" s="21"/>
      <c r="L11" s="17"/>
      <c r="M11" s="3"/>
      <c r="N11" s="26"/>
      <c r="O11" s="41" t="s">
        <v>10</v>
      </c>
      <c r="P11" s="41" t="s">
        <v>10</v>
      </c>
      <c r="Q11" s="41" t="s">
        <v>10</v>
      </c>
      <c r="R11" s="41" t="s">
        <v>10</v>
      </c>
      <c r="S11" s="41" t="s">
        <v>10</v>
      </c>
      <c r="T11" s="41" t="s">
        <v>10</v>
      </c>
      <c r="U11" s="41" t="s">
        <v>10</v>
      </c>
    </row>
    <row r="12" spans="1:21" ht="33" customHeight="1">
      <c r="A12" s="27" t="s">
        <v>13</v>
      </c>
      <c r="B12" s="28">
        <f>N1</f>
        <v>2016</v>
      </c>
      <c r="C12" s="29" t="s">
        <v>14</v>
      </c>
      <c r="D12" s="41" t="s">
        <v>0</v>
      </c>
      <c r="E12" s="41" t="s">
        <v>1</v>
      </c>
      <c r="F12" s="41" t="s">
        <v>2</v>
      </c>
      <c r="G12" s="41" t="s">
        <v>3</v>
      </c>
      <c r="H12" s="41" t="s">
        <v>484</v>
      </c>
      <c r="I12" s="41" t="s">
        <v>4</v>
      </c>
      <c r="J12" s="41" t="s">
        <v>5</v>
      </c>
      <c r="K12" s="21"/>
      <c r="L12" s="27" t="s">
        <v>148</v>
      </c>
      <c r="M12" s="28">
        <f>N1</f>
        <v>2016</v>
      </c>
      <c r="N12" s="29" t="s">
        <v>14</v>
      </c>
      <c r="O12" s="41" t="s">
        <v>0</v>
      </c>
      <c r="P12" s="41" t="s">
        <v>1</v>
      </c>
      <c r="Q12" s="41" t="s">
        <v>2</v>
      </c>
      <c r="R12" s="41" t="s">
        <v>3</v>
      </c>
      <c r="S12" s="41" t="s">
        <v>484</v>
      </c>
      <c r="T12" s="41" t="s">
        <v>4</v>
      </c>
      <c r="U12" s="41" t="s">
        <v>5</v>
      </c>
    </row>
    <row r="13" spans="1:21" s="32" customFormat="1" ht="18" customHeight="1">
      <c r="A13" s="207" t="s">
        <v>62</v>
      </c>
      <c r="B13" s="208">
        <f t="shared" ref="B13:B44" si="0">SUM(D13:J13)</f>
        <v>49700128.850000001</v>
      </c>
      <c r="C13" s="209">
        <f t="shared" ref="C13:C44" si="1">IF((B13/$B$63)=0,"--",B13/$B$63)</f>
        <v>0.76517655170793319</v>
      </c>
      <c r="D13" s="43">
        <f>'[1]1100'!$D3</f>
        <v>36637037.910000004</v>
      </c>
      <c r="E13" s="43">
        <f>'[2]1100'!$D3</f>
        <v>4717342.0399999991</v>
      </c>
      <c r="F13" s="43">
        <f>'[3]1100'!$D3</f>
        <v>157788.26</v>
      </c>
      <c r="G13" s="43">
        <f>'[4]1100'!$D3</f>
        <v>6070448.3199999994</v>
      </c>
      <c r="H13" s="43">
        <f>'[5]1100'!$D3</f>
        <v>43498.369999999995</v>
      </c>
      <c r="I13" s="43">
        <f>'[6]1100'!$D3</f>
        <v>910100.46</v>
      </c>
      <c r="J13" s="43">
        <f>'[7]1100'!$D3</f>
        <v>1163913.4899999998</v>
      </c>
      <c r="K13" s="31"/>
      <c r="L13" s="207" t="s">
        <v>109</v>
      </c>
      <c r="M13" s="208">
        <f t="shared" ref="M13:M39" si="2">SUM(O13:U13)</f>
        <v>60908857.799999982</v>
      </c>
      <c r="N13" s="209">
        <f>IF((M13/$M$63)=0,"",(M13/$M$63))</f>
        <v>0.93774464691096748</v>
      </c>
      <c r="O13" s="42">
        <f>'[1]1100'!$L3</f>
        <v>43773542.119999997</v>
      </c>
      <c r="P13" s="42">
        <f>'[2]1100'!$L3</f>
        <v>6156430.8399999989</v>
      </c>
      <c r="Q13" s="42">
        <f>'[3]1100'!$L3</f>
        <v>589700.33000000007</v>
      </c>
      <c r="R13" s="42">
        <f>'[4]1100'!$L3</f>
        <v>6497562.54</v>
      </c>
      <c r="S13" s="42">
        <f>'[5]1100'!$L3</f>
        <v>122447.41</v>
      </c>
      <c r="T13" s="42">
        <f>'[6]1100'!$L3</f>
        <v>1175330.8999999999</v>
      </c>
      <c r="U13" s="42">
        <f>'[7]1100'!$L3</f>
        <v>2593843.6599999997</v>
      </c>
    </row>
    <row r="14" spans="1:21" s="32" customFormat="1" ht="18" customHeight="1">
      <c r="A14" s="60" t="s">
        <v>63</v>
      </c>
      <c r="B14" s="33">
        <f t="shared" si="0"/>
        <v>440725.56</v>
      </c>
      <c r="C14" s="34">
        <f t="shared" si="1"/>
        <v>6.785351910618795E-3</v>
      </c>
      <c r="D14" s="43">
        <f>'[1]1100'!$D4</f>
        <v>383670.5</v>
      </c>
      <c r="E14" s="43">
        <f>'[2]1100'!$D4</f>
        <v>5609.71</v>
      </c>
      <c r="F14" s="43">
        <f>'[3]1100'!$D4</f>
        <v>51445.35</v>
      </c>
      <c r="G14" s="43">
        <f>'[4]1100'!$D4</f>
        <v>0</v>
      </c>
      <c r="H14" s="43">
        <f>'[5]1100'!$D4</f>
        <v>0</v>
      </c>
      <c r="I14" s="43">
        <f>'[6]1100'!$D4</f>
        <v>0</v>
      </c>
      <c r="J14" s="43">
        <f>'[7]1100'!$D4</f>
        <v>0</v>
      </c>
      <c r="K14" s="31"/>
      <c r="L14" s="4" t="s">
        <v>110</v>
      </c>
      <c r="M14" s="33">
        <f t="shared" si="2"/>
        <v>80266491.969999999</v>
      </c>
      <c r="N14" s="34">
        <f t="shared" ref="N14:N39" si="3">IF((M14/$M$63)=0,"--",M14/$M$63)</f>
        <v>1.2357721994778514</v>
      </c>
      <c r="O14" s="42">
        <f>'[1]1100'!$L4</f>
        <v>59757133.549999997</v>
      </c>
      <c r="P14" s="42">
        <f>'[2]1100'!$L4</f>
        <v>5941163.7699999996</v>
      </c>
      <c r="Q14" s="42">
        <f>'[3]1100'!$L4</f>
        <v>1410098.51</v>
      </c>
      <c r="R14" s="42">
        <f>'[4]1100'!$L4</f>
        <v>11608826.109999999</v>
      </c>
      <c r="S14" s="42">
        <f>'[5]1100'!$L4</f>
        <v>151632.60999999999</v>
      </c>
      <c r="T14" s="42">
        <f>'[6]1100'!$L4</f>
        <v>890898.98</v>
      </c>
      <c r="U14" s="42">
        <f>'[7]1100'!$L4</f>
        <v>506738.44</v>
      </c>
    </row>
    <row r="15" spans="1:21" s="32" customFormat="1" ht="18" customHeight="1">
      <c r="A15" s="31" t="s">
        <v>64</v>
      </c>
      <c r="B15" s="110">
        <f t="shared" si="0"/>
        <v>0</v>
      </c>
      <c r="C15" s="35" t="str">
        <f t="shared" si="1"/>
        <v>--</v>
      </c>
      <c r="D15" s="43">
        <f>'[1]1100'!$D5</f>
        <v>0</v>
      </c>
      <c r="E15" s="43">
        <f>'[2]1100'!$D5</f>
        <v>0</v>
      </c>
      <c r="F15" s="43">
        <f>'[3]1100'!$D5</f>
        <v>0</v>
      </c>
      <c r="G15" s="43">
        <f>'[4]1100'!$D5</f>
        <v>0</v>
      </c>
      <c r="H15" s="43">
        <f>'[5]1100'!$D5</f>
        <v>0</v>
      </c>
      <c r="I15" s="43">
        <f>'[6]1100'!$D5</f>
        <v>0</v>
      </c>
      <c r="J15" s="43">
        <f>'[7]1100'!$D5</f>
        <v>0</v>
      </c>
      <c r="K15" s="31"/>
      <c r="L15" s="31" t="s">
        <v>111</v>
      </c>
      <c r="M15" s="110">
        <f t="shared" si="2"/>
        <v>64802145.079999991</v>
      </c>
      <c r="N15" s="35">
        <f t="shared" si="3"/>
        <v>0.99768517834721082</v>
      </c>
      <c r="O15" s="42">
        <f>'[1]1100'!$L5</f>
        <v>56139836.149999999</v>
      </c>
      <c r="P15" s="42">
        <f>'[2]1100'!$L5</f>
        <v>0</v>
      </c>
      <c r="Q15" s="42">
        <f>'[3]1100'!$L5</f>
        <v>1403298.51</v>
      </c>
      <c r="R15" s="42">
        <f>'[4]1100'!$L5</f>
        <v>5709740.3899999997</v>
      </c>
      <c r="S15" s="42">
        <f>'[5]1100'!$L5</f>
        <v>151632.60999999999</v>
      </c>
      <c r="T15" s="42">
        <f>'[6]1100'!$L5</f>
        <v>890898.98</v>
      </c>
      <c r="U15" s="42">
        <f>'[7]1100'!$L5</f>
        <v>506738.44</v>
      </c>
    </row>
    <row r="16" spans="1:21" s="32" customFormat="1" ht="18" customHeight="1">
      <c r="A16" s="31" t="s">
        <v>65</v>
      </c>
      <c r="B16" s="110">
        <f t="shared" si="0"/>
        <v>0</v>
      </c>
      <c r="C16" s="35" t="str">
        <f t="shared" si="1"/>
        <v>--</v>
      </c>
      <c r="D16" s="43">
        <f>'[1]1100'!$D6</f>
        <v>0</v>
      </c>
      <c r="E16" s="43">
        <f>'[2]1100'!$D6</f>
        <v>0</v>
      </c>
      <c r="F16" s="43">
        <f>'[3]1100'!$D6</f>
        <v>0</v>
      </c>
      <c r="G16" s="43">
        <f>'[4]1100'!$D6</f>
        <v>0</v>
      </c>
      <c r="H16" s="43">
        <f>'[5]1100'!$D6</f>
        <v>0</v>
      </c>
      <c r="I16" s="43">
        <f>'[6]1100'!$D6</f>
        <v>0</v>
      </c>
      <c r="J16" s="43">
        <f>'[7]1100'!$D6</f>
        <v>0</v>
      </c>
      <c r="K16" s="31"/>
      <c r="L16" s="31" t="s">
        <v>112</v>
      </c>
      <c r="M16" s="110">
        <f t="shared" si="2"/>
        <v>15457546.890000001</v>
      </c>
      <c r="N16" s="35">
        <f t="shared" si="3"/>
        <v>0.23798232923804358</v>
      </c>
      <c r="O16" s="42">
        <f>'[1]1100'!$L6</f>
        <v>3617297.4</v>
      </c>
      <c r="P16" s="42">
        <f>'[2]1100'!$L6</f>
        <v>5941163.7699999996</v>
      </c>
      <c r="Q16" s="42">
        <f>'[3]1100'!$L6</f>
        <v>0</v>
      </c>
      <c r="R16" s="42">
        <f>'[4]1100'!$L6</f>
        <v>5899085.7199999997</v>
      </c>
      <c r="S16" s="42">
        <f>'[5]1100'!$L6</f>
        <v>0</v>
      </c>
      <c r="T16" s="42">
        <f>'[6]1100'!$L6</f>
        <v>0</v>
      </c>
      <c r="U16" s="42">
        <f>'[7]1100'!$L6</f>
        <v>0</v>
      </c>
    </row>
    <row r="17" spans="1:21" s="32" customFormat="1" ht="18" customHeight="1">
      <c r="A17" s="31" t="s">
        <v>66</v>
      </c>
      <c r="B17" s="110">
        <f t="shared" si="0"/>
        <v>0</v>
      </c>
      <c r="C17" s="35" t="str">
        <f t="shared" si="1"/>
        <v>--</v>
      </c>
      <c r="D17" s="43">
        <f>'[1]1100'!$D7</f>
        <v>0</v>
      </c>
      <c r="E17" s="43">
        <f>'[2]1100'!$D7</f>
        <v>0</v>
      </c>
      <c r="F17" s="43">
        <f>'[3]1100'!$D7</f>
        <v>0</v>
      </c>
      <c r="G17" s="43">
        <f>'[4]1100'!$D7</f>
        <v>0</v>
      </c>
      <c r="H17" s="43">
        <f>'[5]1100'!$D7</f>
        <v>0</v>
      </c>
      <c r="I17" s="43">
        <f>'[6]1100'!$D7</f>
        <v>0</v>
      </c>
      <c r="J17" s="43">
        <f>'[7]1100'!$D7</f>
        <v>0</v>
      </c>
      <c r="K17" s="31"/>
      <c r="L17" s="31" t="s">
        <v>113</v>
      </c>
      <c r="M17" s="110">
        <f t="shared" si="2"/>
        <v>6800</v>
      </c>
      <c r="N17" s="35">
        <f t="shared" si="3"/>
        <v>1.0469189259685283E-4</v>
      </c>
      <c r="O17" s="42">
        <f>'[1]1100'!$L7</f>
        <v>0</v>
      </c>
      <c r="P17" s="42">
        <f>'[2]1100'!$L7</f>
        <v>0</v>
      </c>
      <c r="Q17" s="42">
        <f>'[3]1100'!$L7</f>
        <v>6800</v>
      </c>
      <c r="R17" s="42">
        <f>'[4]1100'!$L7</f>
        <v>0</v>
      </c>
      <c r="S17" s="42">
        <f>'[5]1100'!$L7</f>
        <v>0</v>
      </c>
      <c r="T17" s="42">
        <f>'[6]1100'!$L7</f>
        <v>0</v>
      </c>
      <c r="U17" s="42">
        <f>'[7]1100'!$L7</f>
        <v>0</v>
      </c>
    </row>
    <row r="18" spans="1:21" s="32" customFormat="1" ht="18" customHeight="1">
      <c r="A18" s="31" t="s">
        <v>67</v>
      </c>
      <c r="B18" s="110">
        <f t="shared" si="0"/>
        <v>440725.56</v>
      </c>
      <c r="C18" s="35">
        <f t="shared" si="1"/>
        <v>6.785351910618795E-3</v>
      </c>
      <c r="D18" s="43">
        <f>'[1]1100'!$D8</f>
        <v>383670.5</v>
      </c>
      <c r="E18" s="43">
        <f>'[2]1100'!$D8</f>
        <v>5609.71</v>
      </c>
      <c r="F18" s="43">
        <f>'[3]1100'!$D8</f>
        <v>51445.35</v>
      </c>
      <c r="G18" s="43">
        <f>'[4]1100'!$D8</f>
        <v>0</v>
      </c>
      <c r="H18" s="43">
        <f>'[5]1100'!$D8</f>
        <v>0</v>
      </c>
      <c r="I18" s="43">
        <f>'[6]1100'!$D8</f>
        <v>0</v>
      </c>
      <c r="J18" s="43">
        <f>'[7]1100'!$D8</f>
        <v>0</v>
      </c>
      <c r="K18" s="31"/>
      <c r="L18" s="31" t="s">
        <v>114</v>
      </c>
      <c r="M18" s="110">
        <f t="shared" si="2"/>
        <v>0</v>
      </c>
      <c r="N18" s="35" t="str">
        <f t="shared" si="3"/>
        <v>--</v>
      </c>
      <c r="O18" s="42">
        <f>'[1]1100'!$L8</f>
        <v>0</v>
      </c>
      <c r="P18" s="42">
        <f>'[2]1100'!$L8</f>
        <v>0</v>
      </c>
      <c r="Q18" s="42">
        <f>'[3]1100'!$L8</f>
        <v>0</v>
      </c>
      <c r="R18" s="42">
        <f>'[4]1100'!$L8</f>
        <v>0</v>
      </c>
      <c r="S18" s="42">
        <f>'[5]1100'!$L8</f>
        <v>0</v>
      </c>
      <c r="T18" s="42">
        <f>'[6]1100'!$L8</f>
        <v>0</v>
      </c>
      <c r="U18" s="42">
        <f>'[7]1100'!$L8</f>
        <v>0</v>
      </c>
    </row>
    <row r="19" spans="1:21" s="32" customFormat="1" ht="18" customHeight="1">
      <c r="A19" s="31" t="s">
        <v>452</v>
      </c>
      <c r="B19" s="110">
        <f t="shared" si="0"/>
        <v>0</v>
      </c>
      <c r="C19" s="35" t="str">
        <f t="shared" si="1"/>
        <v>--</v>
      </c>
      <c r="D19" s="43">
        <f>'[1]1100'!$D9</f>
        <v>0</v>
      </c>
      <c r="E19" s="43">
        <f>'[2]1100'!$D9</f>
        <v>0</v>
      </c>
      <c r="F19" s="43">
        <f>'[3]1100'!$D9</f>
        <v>0</v>
      </c>
      <c r="G19" s="43">
        <f>'[4]1100'!$D9</f>
        <v>0</v>
      </c>
      <c r="H19" s="43">
        <f>'[5]1100'!$D9</f>
        <v>0</v>
      </c>
      <c r="I19" s="43">
        <f>'[6]1100'!$D9</f>
        <v>0</v>
      </c>
      <c r="J19" s="43">
        <f>'[7]1100'!$D9</f>
        <v>0</v>
      </c>
      <c r="K19" s="31"/>
      <c r="L19" s="31" t="s">
        <v>115</v>
      </c>
      <c r="M19" s="36">
        <f t="shared" si="2"/>
        <v>0</v>
      </c>
      <c r="N19" s="35" t="str">
        <f t="shared" si="3"/>
        <v>--</v>
      </c>
      <c r="O19" s="42">
        <f>'[1]1100'!$L9</f>
        <v>0</v>
      </c>
      <c r="P19" s="42">
        <f>'[2]1100'!$L9</f>
        <v>0</v>
      </c>
      <c r="Q19" s="42">
        <f>'[3]1100'!$L9</f>
        <v>0</v>
      </c>
      <c r="R19" s="42">
        <f>'[4]1100'!$L9</f>
        <v>0</v>
      </c>
      <c r="S19" s="42">
        <f>'[5]1100'!$L9</f>
        <v>0</v>
      </c>
      <c r="T19" s="42">
        <f>'[6]1100'!$L9</f>
        <v>0</v>
      </c>
      <c r="U19" s="42">
        <f>'[7]1100'!$L9</f>
        <v>0</v>
      </c>
    </row>
    <row r="20" spans="1:21" s="32" customFormat="1" ht="18" customHeight="1">
      <c r="A20" s="60" t="s">
        <v>68</v>
      </c>
      <c r="B20" s="33">
        <f t="shared" si="0"/>
        <v>1999160.06</v>
      </c>
      <c r="C20" s="34">
        <f t="shared" si="1"/>
        <v>3.0778801512564385E-2</v>
      </c>
      <c r="D20" s="43">
        <f>'[1]1100'!$D10</f>
        <v>1070279.29</v>
      </c>
      <c r="E20" s="43">
        <f>'[2]1100'!$D10</f>
        <v>16262.539999999979</v>
      </c>
      <c r="F20" s="43">
        <f>'[3]1100'!$D10</f>
        <v>2427.2599999999984</v>
      </c>
      <c r="G20" s="43">
        <f>'[4]1100'!$D10</f>
        <v>41692.539999999994</v>
      </c>
      <c r="H20" s="43">
        <f>'[5]1100'!$D10</f>
        <v>1777.1900000000005</v>
      </c>
      <c r="I20" s="43">
        <f>'[6]1100'!$D10</f>
        <v>0</v>
      </c>
      <c r="J20" s="43">
        <f>'[7]1100'!$D10</f>
        <v>866721.24</v>
      </c>
      <c r="K20" s="31"/>
      <c r="L20" s="31" t="s">
        <v>116</v>
      </c>
      <c r="M20" s="110">
        <f t="shared" si="2"/>
        <v>0</v>
      </c>
      <c r="N20" s="35" t="str">
        <f t="shared" si="3"/>
        <v>--</v>
      </c>
      <c r="O20" s="42">
        <f>'[1]1100'!$L10</f>
        <v>0</v>
      </c>
      <c r="P20" s="42">
        <f>'[2]1100'!$L10</f>
        <v>0</v>
      </c>
      <c r="Q20" s="42">
        <f>'[3]1100'!$L10</f>
        <v>0</v>
      </c>
      <c r="R20" s="42">
        <f>'[4]1100'!$L10</f>
        <v>0</v>
      </c>
      <c r="S20" s="42">
        <f>'[5]1100'!$L10</f>
        <v>0</v>
      </c>
      <c r="T20" s="42">
        <f>'[6]1100'!$L10</f>
        <v>0</v>
      </c>
      <c r="U20" s="42">
        <f>'[7]1100'!$L10</f>
        <v>0</v>
      </c>
    </row>
    <row r="21" spans="1:21" s="32" customFormat="1" ht="18" customHeight="1">
      <c r="A21" s="31" t="s">
        <v>69</v>
      </c>
      <c r="B21" s="110">
        <f t="shared" si="0"/>
        <v>286593.23</v>
      </c>
      <c r="C21" s="35">
        <f t="shared" si="1"/>
        <v>4.4123511256095784E-3</v>
      </c>
      <c r="D21" s="43">
        <f>'[1]1100'!$D11</f>
        <v>286593.23</v>
      </c>
      <c r="E21" s="43">
        <f>'[2]1100'!$D11</f>
        <v>0</v>
      </c>
      <c r="F21" s="43">
        <f>'[3]1100'!$D11</f>
        <v>0</v>
      </c>
      <c r="G21" s="43">
        <f>'[4]1100'!$D11</f>
        <v>0</v>
      </c>
      <c r="H21" s="43">
        <f>'[5]1100'!$D11</f>
        <v>0</v>
      </c>
      <c r="I21" s="43">
        <f>'[6]1100'!$D11</f>
        <v>0</v>
      </c>
      <c r="J21" s="43">
        <f>'[7]1100'!$D11</f>
        <v>0</v>
      </c>
      <c r="K21" s="31"/>
      <c r="L21" s="4" t="s">
        <v>117</v>
      </c>
      <c r="M21" s="112">
        <f t="shared" si="2"/>
        <v>0</v>
      </c>
      <c r="N21" s="34" t="str">
        <f t="shared" si="3"/>
        <v>--</v>
      </c>
      <c r="O21" s="42">
        <f>'[1]1100'!$L11</f>
        <v>0</v>
      </c>
      <c r="P21" s="42">
        <f>'[2]1100'!$L11</f>
        <v>0</v>
      </c>
      <c r="Q21" s="42">
        <f>'[3]1100'!$L11</f>
        <v>0</v>
      </c>
      <c r="R21" s="42">
        <f>'[4]1100'!$L11</f>
        <v>0</v>
      </c>
      <c r="S21" s="42">
        <f>'[5]1100'!$L11</f>
        <v>0</v>
      </c>
      <c r="T21" s="42">
        <f>'[6]1100'!$L11</f>
        <v>0</v>
      </c>
      <c r="U21" s="42">
        <f>'[7]1100'!$L11</f>
        <v>0</v>
      </c>
    </row>
    <row r="22" spans="1:21" s="32" customFormat="1" ht="18" customHeight="1">
      <c r="A22" s="31" t="s">
        <v>70</v>
      </c>
      <c r="B22" s="110">
        <f t="shared" si="0"/>
        <v>0</v>
      </c>
      <c r="C22" s="35" t="str">
        <f t="shared" si="1"/>
        <v>--</v>
      </c>
      <c r="D22" s="43">
        <f>'[1]1100'!$D12</f>
        <v>0</v>
      </c>
      <c r="E22" s="43">
        <f>'[2]1100'!$D12</f>
        <v>0</v>
      </c>
      <c r="F22" s="43">
        <f>'[3]1100'!$D12</f>
        <v>0</v>
      </c>
      <c r="G22" s="43">
        <f>'[4]1100'!$D12</f>
        <v>0</v>
      </c>
      <c r="H22" s="43">
        <f>'[5]1100'!$D12</f>
        <v>0</v>
      </c>
      <c r="I22" s="43">
        <f>'[6]1100'!$D12</f>
        <v>0</v>
      </c>
      <c r="J22" s="43">
        <f>'[7]1100'!$D12</f>
        <v>0</v>
      </c>
      <c r="K22" s="31"/>
      <c r="L22" s="4" t="s">
        <v>118</v>
      </c>
      <c r="M22" s="112">
        <f t="shared" si="2"/>
        <v>-17680151.649999999</v>
      </c>
      <c r="N22" s="34">
        <f t="shared" si="3"/>
        <v>-0.27220125553498087</v>
      </c>
      <c r="O22" s="42">
        <f>'[1]1100'!$L12</f>
        <v>-14352418.609999999</v>
      </c>
      <c r="P22" s="42">
        <f>'[2]1100'!$L12</f>
        <v>-93592.24</v>
      </c>
      <c r="Q22" s="42">
        <f>'[3]1100'!$L12</f>
        <v>-529441.01</v>
      </c>
      <c r="R22" s="42">
        <f>'[4]1100'!$L12</f>
        <v>-5110069.1399999997</v>
      </c>
      <c r="S22" s="42">
        <f>'[5]1100'!$L12</f>
        <v>-40688.99</v>
      </c>
      <c r="T22" s="42">
        <f>'[6]1100'!$L12</f>
        <v>293404.5</v>
      </c>
      <c r="U22" s="42">
        <f>'[7]1100'!$L12</f>
        <v>2152653.84</v>
      </c>
    </row>
    <row r="23" spans="1:21" s="32" customFormat="1" ht="18" customHeight="1">
      <c r="A23" s="31" t="s">
        <v>71</v>
      </c>
      <c r="B23" s="110">
        <f t="shared" si="0"/>
        <v>2220872.54</v>
      </c>
      <c r="C23" s="35">
        <f t="shared" si="1"/>
        <v>3.4192257268967602E-2</v>
      </c>
      <c r="D23" s="43">
        <f>'[1]1100'!$D13</f>
        <v>1559047.35</v>
      </c>
      <c r="E23" s="43">
        <f>'[2]1100'!$D13</f>
        <v>280613.37</v>
      </c>
      <c r="F23" s="43">
        <f>'[3]1100'!$D13</f>
        <v>19384.66</v>
      </c>
      <c r="G23" s="43">
        <f>'[4]1100'!$D13</f>
        <v>0</v>
      </c>
      <c r="H23" s="43">
        <f>'[5]1100'!$D13</f>
        <v>12260.19</v>
      </c>
      <c r="I23" s="43">
        <f>'[6]1100'!$D13</f>
        <v>0</v>
      </c>
      <c r="J23" s="43">
        <f>'[7]1100'!$D13</f>
        <v>349566.97</v>
      </c>
      <c r="K23" s="31"/>
      <c r="L23" s="1" t="s">
        <v>119</v>
      </c>
      <c r="M23" s="110">
        <f t="shared" si="2"/>
        <v>1916617.3299999998</v>
      </c>
      <c r="N23" s="35">
        <f t="shared" si="3"/>
        <v>2.9507984656121589E-2</v>
      </c>
      <c r="O23" s="42">
        <f>'[1]1100'!$L13</f>
        <v>0</v>
      </c>
      <c r="P23" s="42">
        <f>'[2]1100'!$L13</f>
        <v>0</v>
      </c>
      <c r="Q23" s="42">
        <f>'[3]1100'!$L13</f>
        <v>-529441.01</v>
      </c>
      <c r="R23" s="42">
        <f>'[4]1100'!$L13</f>
        <v>0</v>
      </c>
      <c r="S23" s="42">
        <f>'[5]1100'!$L13</f>
        <v>0</v>
      </c>
      <c r="T23" s="42">
        <f>'[6]1100'!$L13</f>
        <v>293404.5</v>
      </c>
      <c r="U23" s="42">
        <f>'[7]1100'!$L13</f>
        <v>2152653.84</v>
      </c>
    </row>
    <row r="24" spans="1:21" s="32" customFormat="1" ht="18" customHeight="1">
      <c r="A24" s="31" t="s">
        <v>72</v>
      </c>
      <c r="B24" s="110">
        <f t="shared" si="0"/>
        <v>165781.20000000001</v>
      </c>
      <c r="C24" s="35">
        <f t="shared" si="1"/>
        <v>2.5523452330849083E-3</v>
      </c>
      <c r="D24" s="43">
        <f>'[1]1100'!$D14</f>
        <v>165781.20000000001</v>
      </c>
      <c r="E24" s="43">
        <f>'[2]1100'!$D14</f>
        <v>0</v>
      </c>
      <c r="F24" s="43">
        <f>'[3]1100'!$D14</f>
        <v>0</v>
      </c>
      <c r="G24" s="43">
        <f>'[4]1100'!$D14</f>
        <v>0</v>
      </c>
      <c r="H24" s="43">
        <f>'[5]1100'!$D14</f>
        <v>0</v>
      </c>
      <c r="I24" s="43">
        <f>'[6]1100'!$D14</f>
        <v>0</v>
      </c>
      <c r="J24" s="43">
        <f>'[7]1100'!$D14</f>
        <v>0</v>
      </c>
      <c r="K24" s="31"/>
      <c r="L24" s="1" t="s">
        <v>120</v>
      </c>
      <c r="M24" s="110">
        <f t="shared" si="2"/>
        <v>-19596768.979999997</v>
      </c>
      <c r="N24" s="35">
        <f t="shared" si="3"/>
        <v>-0.30170924019110246</v>
      </c>
      <c r="O24" s="42">
        <f>'[1]1100'!$L14</f>
        <v>-14352418.609999999</v>
      </c>
      <c r="P24" s="42">
        <f>'[2]1100'!$L14</f>
        <v>-93592.24</v>
      </c>
      <c r="Q24" s="42">
        <f>'[3]1100'!$L14</f>
        <v>0</v>
      </c>
      <c r="R24" s="42">
        <f>'[4]1100'!$L14</f>
        <v>-5110069.1399999997</v>
      </c>
      <c r="S24" s="42">
        <f>'[5]1100'!$L14</f>
        <v>-40688.99</v>
      </c>
      <c r="T24" s="42">
        <f>'[6]1100'!$L14</f>
        <v>0</v>
      </c>
      <c r="U24" s="42">
        <f>'[7]1100'!$L14</f>
        <v>0</v>
      </c>
    </row>
    <row r="25" spans="1:21" s="32" customFormat="1" ht="18" customHeight="1">
      <c r="A25" s="31" t="s">
        <v>73</v>
      </c>
      <c r="B25" s="110">
        <f t="shared" si="0"/>
        <v>0</v>
      </c>
      <c r="C25" s="35" t="str">
        <f t="shared" si="1"/>
        <v>--</v>
      </c>
      <c r="D25" s="43">
        <f>'[1]1100'!$D15</f>
        <v>0</v>
      </c>
      <c r="E25" s="43">
        <f>'[2]1100'!$D15</f>
        <v>0</v>
      </c>
      <c r="F25" s="43">
        <f>'[3]1100'!$D15</f>
        <v>0</v>
      </c>
      <c r="G25" s="43">
        <f>'[4]1100'!$D15</f>
        <v>0</v>
      </c>
      <c r="H25" s="43">
        <f>'[5]1100'!$D15</f>
        <v>0</v>
      </c>
      <c r="I25" s="43">
        <f>'[6]1100'!$D15</f>
        <v>0</v>
      </c>
      <c r="J25" s="43">
        <f>'[7]1100'!$D15</f>
        <v>0</v>
      </c>
      <c r="K25" s="31"/>
      <c r="L25" s="4" t="s">
        <v>121</v>
      </c>
      <c r="M25" s="112">
        <f t="shared" si="2"/>
        <v>-1677482.52</v>
      </c>
      <c r="N25" s="34">
        <f t="shared" si="3"/>
        <v>-2.5826297031902649E-2</v>
      </c>
      <c r="O25" s="42">
        <f>'[1]1100'!$L15</f>
        <v>-1631172.82</v>
      </c>
      <c r="P25" s="42">
        <f>'[2]1100'!$L15</f>
        <v>308859.31</v>
      </c>
      <c r="Q25" s="42">
        <f>'[3]1100'!$L15</f>
        <v>-290957.17</v>
      </c>
      <c r="R25" s="42">
        <f>'[4]1100'!$L15</f>
        <v>-1194.43</v>
      </c>
      <c r="S25" s="42">
        <f>'[5]1100'!$L15</f>
        <v>11503.79</v>
      </c>
      <c r="T25" s="42">
        <f>'[6]1100'!$L15</f>
        <v>-8972.58</v>
      </c>
      <c r="U25" s="42">
        <f>'[7]1100'!$L15</f>
        <v>-65548.62</v>
      </c>
    </row>
    <row r="26" spans="1:21" s="32" customFormat="1" ht="18" customHeight="1">
      <c r="A26" s="31" t="s">
        <v>74</v>
      </c>
      <c r="B26" s="110">
        <f t="shared" si="0"/>
        <v>-1502971.73</v>
      </c>
      <c r="C26" s="35">
        <f t="shared" si="1"/>
        <v>-2.3139552196068537E-2</v>
      </c>
      <c r="D26" s="43">
        <f>'[1]1100'!$D16</f>
        <v>-941142.49</v>
      </c>
      <c r="E26" s="43">
        <f>'[2]1100'!$D16</f>
        <v>-264350.83</v>
      </c>
      <c r="F26" s="43">
        <f>'[3]1100'!$D16</f>
        <v>-16957.400000000001</v>
      </c>
      <c r="G26" s="43">
        <f>'[4]1100'!$D16</f>
        <v>-52447.47</v>
      </c>
      <c r="H26" s="43">
        <f>'[5]1100'!$D16</f>
        <v>-10483</v>
      </c>
      <c r="I26" s="43">
        <f>'[6]1100'!$D16</f>
        <v>0</v>
      </c>
      <c r="J26" s="43">
        <f>'[7]1100'!$D16</f>
        <v>-217590.54</v>
      </c>
      <c r="K26" s="31"/>
      <c r="L26" s="207" t="s">
        <v>7</v>
      </c>
      <c r="M26" s="208">
        <f t="shared" si="2"/>
        <v>0</v>
      </c>
      <c r="N26" s="209" t="str">
        <f t="shared" si="3"/>
        <v>--</v>
      </c>
      <c r="O26" s="42">
        <f>'[1]1100'!$L16</f>
        <v>0</v>
      </c>
      <c r="P26" s="42">
        <f>'[2]1100'!$L16</f>
        <v>0</v>
      </c>
      <c r="Q26" s="42">
        <f>'[3]1100'!$L16</f>
        <v>0</v>
      </c>
      <c r="R26" s="42">
        <f>'[4]1100'!$L16</f>
        <v>0</v>
      </c>
      <c r="S26" s="42">
        <f>'[5]1100'!$L16</f>
        <v>0</v>
      </c>
      <c r="T26" s="42">
        <f>'[6]1100'!$L16</f>
        <v>0</v>
      </c>
      <c r="U26" s="42">
        <f>'[7]1100'!$L16</f>
        <v>0</v>
      </c>
    </row>
    <row r="27" spans="1:21" s="32" customFormat="1" ht="18" customHeight="1">
      <c r="A27" s="31" t="s">
        <v>75</v>
      </c>
      <c r="B27" s="110">
        <f t="shared" si="0"/>
        <v>828884.82000000007</v>
      </c>
      <c r="C27" s="35">
        <f t="shared" si="1"/>
        <v>1.2761400080970835E-2</v>
      </c>
      <c r="D27" s="43">
        <f>'[1]1100'!$D17</f>
        <v>0</v>
      </c>
      <c r="E27" s="43">
        <f>'[2]1100'!$D17</f>
        <v>0</v>
      </c>
      <c r="F27" s="43">
        <f>'[3]1100'!$D17</f>
        <v>0</v>
      </c>
      <c r="G27" s="43">
        <f>'[4]1100'!$D17</f>
        <v>94140.01</v>
      </c>
      <c r="H27" s="43">
        <f>'[5]1100'!$D17</f>
        <v>0</v>
      </c>
      <c r="I27" s="43">
        <f>'[6]1100'!$D17</f>
        <v>0</v>
      </c>
      <c r="J27" s="43">
        <f>'[7]1100'!$D17</f>
        <v>734744.81</v>
      </c>
      <c r="K27" s="31"/>
      <c r="L27" s="207" t="s">
        <v>8</v>
      </c>
      <c r="M27" s="208">
        <f t="shared" si="2"/>
        <v>0</v>
      </c>
      <c r="N27" s="209" t="str">
        <f t="shared" si="3"/>
        <v>--</v>
      </c>
      <c r="O27" s="42">
        <f>'[1]1100'!$L17</f>
        <v>0</v>
      </c>
      <c r="P27" s="42">
        <f>'[2]1100'!$L17</f>
        <v>0</v>
      </c>
      <c r="Q27" s="42">
        <f>'[3]1100'!$L17</f>
        <v>0</v>
      </c>
      <c r="R27" s="42">
        <f>'[4]1100'!$L17</f>
        <v>0</v>
      </c>
      <c r="S27" s="42">
        <f>'[5]1100'!$L17</f>
        <v>0</v>
      </c>
      <c r="T27" s="42">
        <f>'[6]1100'!$L17</f>
        <v>0</v>
      </c>
      <c r="U27" s="42">
        <f>'[7]1100'!$L17</f>
        <v>0</v>
      </c>
    </row>
    <row r="28" spans="1:21" s="32" customFormat="1" ht="18" customHeight="1">
      <c r="A28" s="60" t="s">
        <v>76</v>
      </c>
      <c r="B28" s="33">
        <f t="shared" si="0"/>
        <v>47182564.770000003</v>
      </c>
      <c r="C28" s="34">
        <f t="shared" si="1"/>
        <v>0.72641647108013108</v>
      </c>
      <c r="D28" s="43">
        <f>'[1]1100'!$D18</f>
        <v>35106009.660000004</v>
      </c>
      <c r="E28" s="43">
        <f>'[2]1100'!$D18</f>
        <v>4694869.7899999991</v>
      </c>
      <c r="F28" s="43">
        <f>'[3]1100'!$D18</f>
        <v>103915.65000000002</v>
      </c>
      <c r="G28" s="43">
        <f>'[4]1100'!$D18</f>
        <v>6028755.7799999993</v>
      </c>
      <c r="H28" s="43">
        <f>'[5]1100'!$D18</f>
        <v>41721.179999999993</v>
      </c>
      <c r="I28" s="43">
        <f>'[6]1100'!$D18</f>
        <v>910100.46</v>
      </c>
      <c r="J28" s="43">
        <f>'[7]1100'!$D18</f>
        <v>297192.24999999988</v>
      </c>
      <c r="K28" s="31"/>
      <c r="L28" s="207" t="s">
        <v>122</v>
      </c>
      <c r="M28" s="208">
        <f t="shared" si="2"/>
        <v>0</v>
      </c>
      <c r="N28" s="209" t="str">
        <f t="shared" si="3"/>
        <v>--</v>
      </c>
      <c r="O28" s="42">
        <f>'[1]1100'!$L18</f>
        <v>0</v>
      </c>
      <c r="P28" s="42">
        <f>'[2]1100'!$L18</f>
        <v>0</v>
      </c>
      <c r="Q28" s="42">
        <f>'[3]1100'!$L18</f>
        <v>0</v>
      </c>
      <c r="R28" s="42">
        <f>'[4]1100'!$L18</f>
        <v>0</v>
      </c>
      <c r="S28" s="42">
        <f>'[5]1100'!$L18</f>
        <v>0</v>
      </c>
      <c r="T28" s="42">
        <f>'[6]1100'!$L18</f>
        <v>0</v>
      </c>
      <c r="U28" s="42">
        <f>'[7]1100'!$L18</f>
        <v>0</v>
      </c>
    </row>
    <row r="29" spans="1:21" s="32" customFormat="1" ht="18" customHeight="1">
      <c r="A29" s="31" t="s">
        <v>77</v>
      </c>
      <c r="B29" s="110">
        <f t="shared" si="0"/>
        <v>82550612.140000001</v>
      </c>
      <c r="C29" s="35">
        <f t="shared" si="1"/>
        <v>1.2709382088184313</v>
      </c>
      <c r="D29" s="43">
        <f>'[1]1100'!$D19</f>
        <v>71566183.790000007</v>
      </c>
      <c r="E29" s="43">
        <f>'[2]1100'!$D19</f>
        <v>4752888.8899999997</v>
      </c>
      <c r="F29" s="43">
        <f>'[3]1100'!$D19</f>
        <v>79564.52</v>
      </c>
      <c r="G29" s="43">
        <f>'[4]1100'!$D19</f>
        <v>5896080.6600000001</v>
      </c>
      <c r="H29" s="43">
        <f>'[5]1100'!$D19</f>
        <v>0</v>
      </c>
      <c r="I29" s="43">
        <f>'[6]1100'!$D19</f>
        <v>217421.06</v>
      </c>
      <c r="J29" s="43">
        <f>'[7]1100'!$D19</f>
        <v>38473.22</v>
      </c>
      <c r="K29" s="31"/>
      <c r="L29" s="4" t="s">
        <v>123</v>
      </c>
      <c r="M29" s="112">
        <f t="shared" si="2"/>
        <v>0</v>
      </c>
      <c r="N29" s="34" t="str">
        <f t="shared" si="3"/>
        <v>--</v>
      </c>
      <c r="O29" s="42">
        <f>'[1]1100'!$L19</f>
        <v>0</v>
      </c>
      <c r="P29" s="42">
        <f>'[2]1100'!$L19</f>
        <v>0</v>
      </c>
      <c r="Q29" s="42">
        <f>'[3]1100'!$L19</f>
        <v>0</v>
      </c>
      <c r="R29" s="42">
        <f>'[4]1100'!$L19</f>
        <v>0</v>
      </c>
      <c r="S29" s="42">
        <f>'[5]1100'!$L19</f>
        <v>0</v>
      </c>
      <c r="T29" s="42">
        <f>'[6]1100'!$L19</f>
        <v>0</v>
      </c>
      <c r="U29" s="42">
        <f>'[7]1100'!$L19</f>
        <v>0</v>
      </c>
    </row>
    <row r="30" spans="1:21" s="32" customFormat="1" ht="18" customHeight="1">
      <c r="A30" s="31" t="s">
        <v>78</v>
      </c>
      <c r="B30" s="110">
        <f t="shared" si="0"/>
        <v>7985499.1899999995</v>
      </c>
      <c r="C30" s="35">
        <f t="shared" si="1"/>
        <v>0.1229436799311375</v>
      </c>
      <c r="D30" s="43">
        <f>'[1]1100'!$D20</f>
        <v>6441505.21</v>
      </c>
      <c r="E30" s="43">
        <f>'[2]1100'!$D20</f>
        <v>1062770.8999999999</v>
      </c>
      <c r="F30" s="43">
        <f>'[3]1100'!$D20</f>
        <v>64848.38</v>
      </c>
      <c r="G30" s="43">
        <f>'[4]1100'!$D20</f>
        <v>242372.96999999997</v>
      </c>
      <c r="H30" s="43">
        <f>'[5]1100'!$D20</f>
        <v>22780.18</v>
      </c>
      <c r="I30" s="43">
        <f>'[6]1100'!$D20</f>
        <v>130185.9</v>
      </c>
      <c r="J30" s="43">
        <f>'[7]1100'!$D20</f>
        <v>21035.65</v>
      </c>
      <c r="K30" s="31"/>
      <c r="L30" s="1" t="s">
        <v>124</v>
      </c>
      <c r="M30" s="110">
        <f t="shared" si="2"/>
        <v>0</v>
      </c>
      <c r="N30" s="35" t="str">
        <f t="shared" si="3"/>
        <v>--</v>
      </c>
      <c r="O30" s="42">
        <f>'[1]1100'!$L20</f>
        <v>0</v>
      </c>
      <c r="P30" s="42">
        <f>'[2]1100'!$L20</f>
        <v>0</v>
      </c>
      <c r="Q30" s="42">
        <f>'[3]1100'!$L20</f>
        <v>0</v>
      </c>
      <c r="R30" s="42">
        <f>'[4]1100'!$L20</f>
        <v>0</v>
      </c>
      <c r="S30" s="42">
        <f>'[5]1100'!$L20</f>
        <v>0</v>
      </c>
      <c r="T30" s="42">
        <f>'[6]1100'!$L20</f>
        <v>0</v>
      </c>
      <c r="U30" s="42">
        <f>'[7]1100'!$L20</f>
        <v>0</v>
      </c>
    </row>
    <row r="31" spans="1:21" s="32" customFormat="1" ht="18" customHeight="1">
      <c r="A31" s="31" t="s">
        <v>79</v>
      </c>
      <c r="B31" s="110">
        <f t="shared" si="0"/>
        <v>4705523.17</v>
      </c>
      <c r="C31" s="35">
        <f t="shared" si="1"/>
        <v>7.244560681259446E-2</v>
      </c>
      <c r="D31" s="43">
        <f>'[1]1100'!$D21</f>
        <v>3537494.73</v>
      </c>
      <c r="E31" s="43">
        <f>'[2]1100'!$D21</f>
        <v>624156.14</v>
      </c>
      <c r="F31" s="43">
        <f>'[3]1100'!$D21</f>
        <v>399491.9</v>
      </c>
      <c r="G31" s="43">
        <f>'[4]1100'!$D21</f>
        <v>72761.3</v>
      </c>
      <c r="H31" s="43">
        <f>'[5]1100'!$D21</f>
        <v>71619.100000000006</v>
      </c>
      <c r="I31" s="43">
        <f>'[6]1100'!$D21</f>
        <v>0</v>
      </c>
      <c r="J31" s="43">
        <f>'[7]1100'!$D21</f>
        <v>0</v>
      </c>
      <c r="K31" s="31"/>
      <c r="L31" s="1" t="s">
        <v>125</v>
      </c>
      <c r="M31" s="110">
        <f t="shared" si="2"/>
        <v>0</v>
      </c>
      <c r="N31" s="35" t="str">
        <f t="shared" si="3"/>
        <v>--</v>
      </c>
      <c r="O31" s="42">
        <f>'[1]1100'!$L21</f>
        <v>0</v>
      </c>
      <c r="P31" s="42">
        <f>'[2]1100'!$L21</f>
        <v>0</v>
      </c>
      <c r="Q31" s="42">
        <f>'[3]1100'!$L21</f>
        <v>0</v>
      </c>
      <c r="R31" s="42">
        <f>'[4]1100'!$L21</f>
        <v>0</v>
      </c>
      <c r="S31" s="42">
        <f>'[5]1100'!$L21</f>
        <v>0</v>
      </c>
      <c r="T31" s="42">
        <f>'[6]1100'!$L21</f>
        <v>0</v>
      </c>
      <c r="U31" s="42">
        <f>'[7]1100'!$L21</f>
        <v>0</v>
      </c>
    </row>
    <row r="32" spans="1:21" s="32" customFormat="1" ht="18" customHeight="1">
      <c r="A32" s="31" t="s">
        <v>80</v>
      </c>
      <c r="B32" s="110">
        <f t="shared" si="0"/>
        <v>13464336.34</v>
      </c>
      <c r="C32" s="35">
        <f t="shared" si="1"/>
        <v>0.2072951255875268</v>
      </c>
      <c r="D32" s="43">
        <f>'[1]1100'!$D22</f>
        <v>11137534.529999999</v>
      </c>
      <c r="E32" s="43">
        <f>'[2]1100'!$D22</f>
        <v>403316.32</v>
      </c>
      <c r="F32" s="43">
        <f>'[3]1100'!$D22</f>
        <v>72557.069999999992</v>
      </c>
      <c r="G32" s="43">
        <f>'[4]1100'!$D22</f>
        <v>475043.52</v>
      </c>
      <c r="H32" s="43">
        <f>'[5]1100'!$D22</f>
        <v>43260.21</v>
      </c>
      <c r="I32" s="43">
        <f>'[6]1100'!$D22</f>
        <v>562493.5</v>
      </c>
      <c r="J32" s="43">
        <f>'[7]1100'!$D22</f>
        <v>770131.19</v>
      </c>
      <c r="K32" s="31"/>
      <c r="L32" s="1" t="s">
        <v>126</v>
      </c>
      <c r="M32" s="110">
        <f t="shared" si="2"/>
        <v>0</v>
      </c>
      <c r="N32" s="35" t="str">
        <f t="shared" si="3"/>
        <v>--</v>
      </c>
      <c r="O32" s="42">
        <f>'[1]1100'!$L22</f>
        <v>0</v>
      </c>
      <c r="P32" s="42">
        <f>'[2]1100'!$L22</f>
        <v>0</v>
      </c>
      <c r="Q32" s="42">
        <f>'[3]1100'!$L22</f>
        <v>0</v>
      </c>
      <c r="R32" s="42">
        <f>'[4]1100'!$L22</f>
        <v>0</v>
      </c>
      <c r="S32" s="42">
        <f>'[5]1100'!$L22</f>
        <v>0</v>
      </c>
      <c r="T32" s="42">
        <f>'[6]1100'!$L22</f>
        <v>0</v>
      </c>
      <c r="U32" s="42">
        <f>'[7]1100'!$L22</f>
        <v>0</v>
      </c>
    </row>
    <row r="33" spans="1:21" s="32" customFormat="1" ht="18" customHeight="1">
      <c r="A33" s="31" t="s">
        <v>81</v>
      </c>
      <c r="B33" s="110">
        <f t="shared" si="0"/>
        <v>-61523406.070000008</v>
      </c>
      <c r="C33" s="35">
        <f t="shared" si="1"/>
        <v>-0.94720615006955922</v>
      </c>
      <c r="D33" s="43">
        <f>'[1]1100'!$D23</f>
        <v>-57576708.600000001</v>
      </c>
      <c r="E33" s="43">
        <f>'[2]1100'!$D23</f>
        <v>-2148262.46</v>
      </c>
      <c r="F33" s="43">
        <f>'[3]1100'!$D23</f>
        <v>-512546.22</v>
      </c>
      <c r="G33" s="43">
        <f>'[4]1100'!$D23</f>
        <v>-657502.67000000004</v>
      </c>
      <c r="H33" s="43">
        <f>'[5]1100'!$D23</f>
        <v>-95938.31</v>
      </c>
      <c r="I33" s="43">
        <f>'[6]1100'!$D23</f>
        <v>0</v>
      </c>
      <c r="J33" s="43">
        <f>'[7]1100'!$D23</f>
        <v>-532447.81000000006</v>
      </c>
      <c r="K33" s="31"/>
      <c r="L33" s="1" t="s">
        <v>9</v>
      </c>
      <c r="M33" s="36">
        <f t="shared" si="2"/>
        <v>0</v>
      </c>
      <c r="N33" s="35" t="str">
        <f t="shared" si="3"/>
        <v>--</v>
      </c>
      <c r="O33" s="42">
        <f>'[1]1100'!$L23</f>
        <v>0</v>
      </c>
      <c r="P33" s="42">
        <f>'[2]1100'!$L23</f>
        <v>0</v>
      </c>
      <c r="Q33" s="42">
        <f>'[3]1100'!$L23</f>
        <v>0</v>
      </c>
      <c r="R33" s="42">
        <f>'[4]1100'!$L23</f>
        <v>0</v>
      </c>
      <c r="S33" s="42">
        <f>'[5]1100'!$L23</f>
        <v>0</v>
      </c>
      <c r="T33" s="42">
        <f>'[6]1100'!$L23</f>
        <v>0</v>
      </c>
      <c r="U33" s="42">
        <f>'[7]1100'!$L23</f>
        <v>0</v>
      </c>
    </row>
    <row r="34" spans="1:21" s="32" customFormat="1" ht="18" customHeight="1">
      <c r="A34" s="60" t="s">
        <v>82</v>
      </c>
      <c r="B34" s="33">
        <f t="shared" si="0"/>
        <v>0</v>
      </c>
      <c r="C34" s="34" t="str">
        <f t="shared" si="1"/>
        <v>--</v>
      </c>
      <c r="D34" s="43">
        <f>'[1]1100'!$D24</f>
        <v>0</v>
      </c>
      <c r="E34" s="43">
        <f>'[2]1100'!$D24</f>
        <v>0</v>
      </c>
      <c r="F34" s="43">
        <f>'[3]1100'!$D24</f>
        <v>0</v>
      </c>
      <c r="G34" s="43">
        <f>'[4]1100'!$D24</f>
        <v>0</v>
      </c>
      <c r="H34" s="43">
        <f>'[5]1100'!$D24</f>
        <v>0</v>
      </c>
      <c r="I34" s="43">
        <f>'[6]1100'!$D24</f>
        <v>0</v>
      </c>
      <c r="J34" s="43">
        <f>'[7]1100'!$D24</f>
        <v>0</v>
      </c>
      <c r="K34" s="31"/>
      <c r="L34" s="4" t="s">
        <v>127</v>
      </c>
      <c r="M34" s="33">
        <f t="shared" si="2"/>
        <v>0</v>
      </c>
      <c r="N34" s="34" t="str">
        <f t="shared" si="3"/>
        <v>--</v>
      </c>
      <c r="O34" s="42">
        <f>'[1]1100'!$L24</f>
        <v>0</v>
      </c>
      <c r="P34" s="42">
        <f>'[2]1100'!$L24</f>
        <v>0</v>
      </c>
      <c r="Q34" s="42">
        <f>'[3]1100'!$L24</f>
        <v>0</v>
      </c>
      <c r="R34" s="42">
        <f>'[4]1100'!$L24</f>
        <v>0</v>
      </c>
      <c r="S34" s="42">
        <f>'[5]1100'!$L24</f>
        <v>0</v>
      </c>
      <c r="T34" s="42">
        <f>'[6]1100'!$L24</f>
        <v>0</v>
      </c>
      <c r="U34" s="42">
        <f>'[7]1100'!$L24</f>
        <v>0</v>
      </c>
    </row>
    <row r="35" spans="1:21" s="32" customFormat="1" ht="18" customHeight="1">
      <c r="A35" s="60" t="s">
        <v>83</v>
      </c>
      <c r="B35" s="33">
        <f t="shared" si="0"/>
        <v>77678.459999999992</v>
      </c>
      <c r="C35" s="34">
        <f t="shared" si="1"/>
        <v>1.1959272046189596E-3</v>
      </c>
      <c r="D35" s="43">
        <f>'[1]1100'!$D25</f>
        <v>77078.459999999992</v>
      </c>
      <c r="E35" s="43">
        <f>'[2]1100'!$D25</f>
        <v>600</v>
      </c>
      <c r="F35" s="43">
        <f>'[3]1100'!$D25</f>
        <v>0</v>
      </c>
      <c r="G35" s="43">
        <f>'[4]1100'!$D25</f>
        <v>0</v>
      </c>
      <c r="H35" s="43">
        <f>'[5]1100'!$D25</f>
        <v>0</v>
      </c>
      <c r="I35" s="43">
        <f>'[6]1100'!$D25</f>
        <v>0</v>
      </c>
      <c r="J35" s="43">
        <f>'[7]1100'!$D25</f>
        <v>0</v>
      </c>
      <c r="K35" s="31"/>
      <c r="L35" s="1" t="s">
        <v>128</v>
      </c>
      <c r="M35" s="110">
        <f t="shared" si="2"/>
        <v>0</v>
      </c>
      <c r="N35" s="35" t="str">
        <f t="shared" si="3"/>
        <v>--</v>
      </c>
      <c r="O35" s="42">
        <f>'[1]1100'!$L25</f>
        <v>0</v>
      </c>
      <c r="P35" s="42">
        <f>'[2]1100'!$L25</f>
        <v>0</v>
      </c>
      <c r="Q35" s="42">
        <f>'[3]1100'!$L25</f>
        <v>0</v>
      </c>
      <c r="R35" s="42">
        <f>'[4]1100'!$L25</f>
        <v>0</v>
      </c>
      <c r="S35" s="42">
        <f>'[5]1100'!$L25</f>
        <v>0</v>
      </c>
      <c r="T35" s="42">
        <f>'[6]1100'!$L25</f>
        <v>0</v>
      </c>
      <c r="U35" s="42">
        <f>'[7]1100'!$L25</f>
        <v>0</v>
      </c>
    </row>
    <row r="36" spans="1:21" s="32" customFormat="1" ht="18" customHeight="1">
      <c r="A36" s="31" t="s">
        <v>84</v>
      </c>
      <c r="B36" s="110">
        <f t="shared" si="0"/>
        <v>0</v>
      </c>
      <c r="C36" s="35" t="str">
        <f t="shared" si="1"/>
        <v>--</v>
      </c>
      <c r="D36" s="43">
        <f>'[1]1100'!$D26</f>
        <v>0</v>
      </c>
      <c r="E36" s="43">
        <f>'[2]1100'!$D26</f>
        <v>0</v>
      </c>
      <c r="F36" s="43">
        <f>'[3]1100'!$D26</f>
        <v>0</v>
      </c>
      <c r="G36" s="43">
        <f>'[4]1100'!$D26</f>
        <v>0</v>
      </c>
      <c r="H36" s="43">
        <f>'[5]1100'!$D26</f>
        <v>0</v>
      </c>
      <c r="I36" s="43">
        <f>'[6]1100'!$D26</f>
        <v>0</v>
      </c>
      <c r="J36" s="43">
        <f>'[7]1100'!$D26</f>
        <v>0</v>
      </c>
      <c r="K36" s="31"/>
      <c r="L36" s="1" t="s">
        <v>129</v>
      </c>
      <c r="M36" s="110">
        <f t="shared" si="2"/>
        <v>0</v>
      </c>
      <c r="N36" s="35" t="str">
        <f t="shared" si="3"/>
        <v>--</v>
      </c>
      <c r="O36" s="42">
        <f>'[1]1100'!$L26</f>
        <v>0</v>
      </c>
      <c r="P36" s="42">
        <f>'[2]1100'!$L26</f>
        <v>0</v>
      </c>
      <c r="Q36" s="42">
        <f>'[3]1100'!$L26</f>
        <v>0</v>
      </c>
      <c r="R36" s="42">
        <f>'[4]1100'!$L26</f>
        <v>0</v>
      </c>
      <c r="S36" s="42">
        <f>'[5]1100'!$L26</f>
        <v>0</v>
      </c>
      <c r="T36" s="42">
        <f>'[6]1100'!$L26</f>
        <v>0</v>
      </c>
      <c r="U36" s="42">
        <f>'[7]1100'!$L26</f>
        <v>0</v>
      </c>
    </row>
    <row r="37" spans="1:21" s="32" customFormat="1" ht="18" customHeight="1">
      <c r="A37" s="31" t="s">
        <v>85</v>
      </c>
      <c r="B37" s="110">
        <f t="shared" si="0"/>
        <v>75570.84</v>
      </c>
      <c r="C37" s="35">
        <f t="shared" si="1"/>
        <v>1.1634785683432276E-3</v>
      </c>
      <c r="D37" s="43">
        <f>'[1]1100'!$D27</f>
        <v>74970.84</v>
      </c>
      <c r="E37" s="43">
        <f>'[2]1100'!$D27</f>
        <v>600</v>
      </c>
      <c r="F37" s="43">
        <f>'[3]1100'!$D27</f>
        <v>0</v>
      </c>
      <c r="G37" s="43">
        <f>'[4]1100'!$D27</f>
        <v>0</v>
      </c>
      <c r="H37" s="43">
        <f>'[5]1100'!$D27</f>
        <v>0</v>
      </c>
      <c r="I37" s="43">
        <f>'[6]1100'!$D27</f>
        <v>0</v>
      </c>
      <c r="J37" s="43">
        <f>'[7]1100'!$D27</f>
        <v>0</v>
      </c>
      <c r="K37" s="31"/>
      <c r="L37" s="1" t="s">
        <v>130</v>
      </c>
      <c r="M37" s="110">
        <f t="shared" si="2"/>
        <v>0</v>
      </c>
      <c r="N37" s="35" t="str">
        <f t="shared" si="3"/>
        <v>--</v>
      </c>
      <c r="O37" s="42">
        <f>'[1]1100'!$L27</f>
        <v>0</v>
      </c>
      <c r="P37" s="42">
        <f>'[2]1100'!$L27</f>
        <v>0</v>
      </c>
      <c r="Q37" s="42">
        <f>'[3]1100'!$L27</f>
        <v>0</v>
      </c>
      <c r="R37" s="42">
        <f>'[4]1100'!$L27</f>
        <v>0</v>
      </c>
      <c r="S37" s="42">
        <f>'[5]1100'!$L27</f>
        <v>0</v>
      </c>
      <c r="T37" s="42">
        <f>'[6]1100'!$L27</f>
        <v>0</v>
      </c>
      <c r="U37" s="42">
        <f>'[7]1100'!$L27</f>
        <v>0</v>
      </c>
    </row>
    <row r="38" spans="1:21" s="32" customFormat="1" ht="18" customHeight="1">
      <c r="A38" s="31" t="s">
        <v>86</v>
      </c>
      <c r="B38" s="110">
        <f t="shared" si="0"/>
        <v>2107.62</v>
      </c>
      <c r="C38" s="35">
        <f t="shared" si="1"/>
        <v>3.2448636275732194E-5</v>
      </c>
      <c r="D38" s="43">
        <f>'[1]1100'!$D28</f>
        <v>2107.62</v>
      </c>
      <c r="E38" s="43">
        <f>'[2]1100'!$D28</f>
        <v>0</v>
      </c>
      <c r="F38" s="43">
        <f>'[3]1100'!$D28</f>
        <v>0</v>
      </c>
      <c r="G38" s="43">
        <f>'[4]1100'!$D28</f>
        <v>0</v>
      </c>
      <c r="H38" s="43">
        <f>'[5]1100'!$D28</f>
        <v>0</v>
      </c>
      <c r="I38" s="43">
        <f>'[6]1100'!$D28</f>
        <v>0</v>
      </c>
      <c r="J38" s="43">
        <f>'[7]1100'!$D28</f>
        <v>0</v>
      </c>
      <c r="K38" s="31"/>
      <c r="L38" s="1" t="s">
        <v>131</v>
      </c>
      <c r="M38" s="110">
        <f t="shared" si="2"/>
        <v>0</v>
      </c>
      <c r="N38" s="35" t="str">
        <f t="shared" si="3"/>
        <v>--</v>
      </c>
      <c r="O38" s="42">
        <f>'[1]1100'!$L28</f>
        <v>0</v>
      </c>
      <c r="P38" s="42">
        <f>'[2]1100'!$L28</f>
        <v>0</v>
      </c>
      <c r="Q38" s="42">
        <f>'[3]1100'!$L28</f>
        <v>0</v>
      </c>
      <c r="R38" s="42">
        <f>'[4]1100'!$L28</f>
        <v>0</v>
      </c>
      <c r="S38" s="42">
        <f>'[5]1100'!$L28</f>
        <v>0</v>
      </c>
      <c r="T38" s="42">
        <f>'[6]1100'!$L28</f>
        <v>0</v>
      </c>
      <c r="U38" s="42">
        <f>'[7]1100'!$L28</f>
        <v>0</v>
      </c>
    </row>
    <row r="39" spans="1:21" s="32" customFormat="1" ht="18" customHeight="1">
      <c r="A39" s="31" t="s">
        <v>87</v>
      </c>
      <c r="B39" s="110">
        <f t="shared" si="0"/>
        <v>0</v>
      </c>
      <c r="C39" s="35" t="str">
        <f t="shared" si="1"/>
        <v>--</v>
      </c>
      <c r="D39" s="43">
        <f>'[1]1100'!$D29</f>
        <v>0</v>
      </c>
      <c r="E39" s="43">
        <f>'[2]1100'!$D29</f>
        <v>0</v>
      </c>
      <c r="F39" s="43">
        <f>'[3]1100'!$D29</f>
        <v>0</v>
      </c>
      <c r="G39" s="43">
        <f>'[4]1100'!$D29</f>
        <v>0</v>
      </c>
      <c r="H39" s="43">
        <f>'[5]1100'!$D29</f>
        <v>0</v>
      </c>
      <c r="I39" s="43">
        <f>'[6]1100'!$D29</f>
        <v>0</v>
      </c>
      <c r="J39" s="43">
        <f>'[7]1100'!$D29</f>
        <v>0</v>
      </c>
      <c r="K39" s="31"/>
      <c r="L39" s="4" t="s">
        <v>132</v>
      </c>
      <c r="M39" s="33">
        <f t="shared" si="2"/>
        <v>0</v>
      </c>
      <c r="N39" s="34" t="str">
        <f t="shared" si="3"/>
        <v>--</v>
      </c>
      <c r="O39" s="42">
        <f>'[1]1100'!$L29</f>
        <v>0</v>
      </c>
      <c r="P39" s="42">
        <f>'[2]1100'!$L29</f>
        <v>0</v>
      </c>
      <c r="Q39" s="42">
        <f>'[3]1100'!$L29</f>
        <v>0</v>
      </c>
      <c r="R39" s="42">
        <f>'[4]1100'!$L29</f>
        <v>0</v>
      </c>
      <c r="S39" s="42">
        <f>'[5]1100'!$L29</f>
        <v>0</v>
      </c>
      <c r="T39" s="42">
        <f>'[6]1100'!$L29</f>
        <v>0</v>
      </c>
      <c r="U39" s="42">
        <f>'[7]1100'!$L29</f>
        <v>0</v>
      </c>
    </row>
    <row r="40" spans="1:21" s="32" customFormat="1" ht="18" customHeight="1">
      <c r="A40" s="207" t="s">
        <v>6</v>
      </c>
      <c r="B40" s="208">
        <f t="shared" si="0"/>
        <v>0</v>
      </c>
      <c r="C40" s="209" t="str">
        <f t="shared" si="1"/>
        <v>--</v>
      </c>
      <c r="D40" s="43">
        <f>'[1]1100'!$D30</f>
        <v>0</v>
      </c>
      <c r="E40" s="43">
        <f>'[2]1100'!$D30</f>
        <v>0</v>
      </c>
      <c r="F40" s="43">
        <f>'[3]1100'!$D30</f>
        <v>0</v>
      </c>
      <c r="G40" s="43">
        <f>'[4]1100'!$D30</f>
        <v>0</v>
      </c>
      <c r="H40" s="43">
        <f>'[5]1100'!$D30</f>
        <v>0</v>
      </c>
      <c r="I40" s="43">
        <f>'[6]1100'!$D30</f>
        <v>0</v>
      </c>
      <c r="J40" s="43">
        <f>'[7]1100'!$D30</f>
        <v>0</v>
      </c>
      <c r="K40" s="31"/>
      <c r="L40" s="4"/>
      <c r="M40" s="33"/>
      <c r="N40" s="34"/>
      <c r="O40" s="42"/>
      <c r="P40" s="42"/>
      <c r="Q40" s="42"/>
      <c r="R40" s="42"/>
      <c r="S40" s="42"/>
      <c r="T40" s="42"/>
      <c r="U40" s="42"/>
    </row>
    <row r="41" spans="1:21" s="32" customFormat="1" ht="18" customHeight="1">
      <c r="A41" s="207" t="s">
        <v>88</v>
      </c>
      <c r="B41" s="208">
        <f t="shared" si="0"/>
        <v>15252369.68</v>
      </c>
      <c r="C41" s="209">
        <f t="shared" si="1"/>
        <v>0.23482344829206681</v>
      </c>
      <c r="D41" s="43">
        <f>'[1]1100'!$D31</f>
        <v>8777851.6699999999</v>
      </c>
      <c r="E41" s="43">
        <f>'[2]1100'!$D31</f>
        <v>3047950.51</v>
      </c>
      <c r="F41" s="43">
        <f>'[3]1100'!$D31</f>
        <v>481201.51</v>
      </c>
      <c r="G41" s="43">
        <f>'[4]1100'!$D31</f>
        <v>688331.11</v>
      </c>
      <c r="H41" s="43">
        <f>'[5]1100'!$D31</f>
        <v>239373.13</v>
      </c>
      <c r="I41" s="43">
        <f>'[6]1100'!$D31</f>
        <v>394328.34</v>
      </c>
      <c r="J41" s="43">
        <f>'[7]1100'!$D31</f>
        <v>1623333.41</v>
      </c>
      <c r="K41" s="31"/>
      <c r="L41" s="207" t="s">
        <v>133</v>
      </c>
      <c r="M41" s="208">
        <f t="shared" ref="M41:M59" si="4">SUM(O41:U41)</f>
        <v>4043640.7299999995</v>
      </c>
      <c r="N41" s="209">
        <f t="shared" ref="N41:N59" si="5">IF((M41/$M$63)=0,"--",M41/$M$63)</f>
        <v>6.2255353089032274E-2</v>
      </c>
      <c r="O41" s="42">
        <f>'[1]1100'!$L30</f>
        <v>1641347.46</v>
      </c>
      <c r="P41" s="42">
        <f>'[2]1100'!$L30</f>
        <v>1608861.71</v>
      </c>
      <c r="Q41" s="42">
        <f>'[3]1100'!$L30</f>
        <v>49289.440000000002</v>
      </c>
      <c r="R41" s="42">
        <f>'[4]1100'!$L30</f>
        <v>261216.88999999998</v>
      </c>
      <c r="S41" s="42">
        <f>'[5]1100'!$L30</f>
        <v>160424.09</v>
      </c>
      <c r="T41" s="42">
        <f>'[6]1100'!$L30</f>
        <v>129097.9</v>
      </c>
      <c r="U41" s="42">
        <f>'[7]1100'!$L30</f>
        <v>193403.24</v>
      </c>
    </row>
    <row r="42" spans="1:21" s="32" customFormat="1" ht="18" customHeight="1">
      <c r="A42" s="60" t="s">
        <v>89</v>
      </c>
      <c r="B42" s="33">
        <f t="shared" si="0"/>
        <v>0</v>
      </c>
      <c r="C42" s="34" t="str">
        <f t="shared" si="1"/>
        <v>--</v>
      </c>
      <c r="D42" s="43">
        <f>'[1]1100'!$D32</f>
        <v>0</v>
      </c>
      <c r="E42" s="43">
        <f>'[2]1100'!$D32</f>
        <v>0</v>
      </c>
      <c r="F42" s="43">
        <f>'[3]1100'!$D32</f>
        <v>0</v>
      </c>
      <c r="G42" s="43">
        <f>'[4]1100'!$D32</f>
        <v>0</v>
      </c>
      <c r="H42" s="43">
        <f>'[5]1100'!$D32</f>
        <v>0</v>
      </c>
      <c r="I42" s="43">
        <f>'[6]1100'!$D32</f>
        <v>0</v>
      </c>
      <c r="J42" s="43">
        <f>'[7]1100'!$D32</f>
        <v>0</v>
      </c>
      <c r="K42" s="31"/>
      <c r="L42" s="4" t="s">
        <v>123</v>
      </c>
      <c r="M42" s="33">
        <f t="shared" si="4"/>
        <v>0</v>
      </c>
      <c r="N42" s="34" t="str">
        <f t="shared" si="5"/>
        <v>--</v>
      </c>
      <c r="O42" s="42">
        <f>'[1]1100'!$L31</f>
        <v>0</v>
      </c>
      <c r="P42" s="42">
        <f>'[2]1100'!$L31</f>
        <v>0</v>
      </c>
      <c r="Q42" s="42">
        <f>'[3]1100'!$L31</f>
        <v>0</v>
      </c>
      <c r="R42" s="42">
        <f>'[4]1100'!$L31</f>
        <v>0</v>
      </c>
      <c r="S42" s="42">
        <f>'[5]1100'!$L31</f>
        <v>0</v>
      </c>
      <c r="T42" s="42">
        <f>'[6]1100'!$L31</f>
        <v>0</v>
      </c>
      <c r="U42" s="42">
        <f>'[7]1100'!$L31</f>
        <v>0</v>
      </c>
    </row>
    <row r="43" spans="1:21" s="32" customFormat="1" ht="18" customHeight="1">
      <c r="A43" s="31" t="s">
        <v>90</v>
      </c>
      <c r="B43" s="110">
        <f t="shared" si="0"/>
        <v>0</v>
      </c>
      <c r="C43" s="35" t="str">
        <f t="shared" si="1"/>
        <v>--</v>
      </c>
      <c r="D43" s="43">
        <f>'[1]1100'!$D33</f>
        <v>0</v>
      </c>
      <c r="E43" s="43">
        <f>'[2]1100'!$D33</f>
        <v>0</v>
      </c>
      <c r="F43" s="43">
        <f>'[3]1100'!$D33</f>
        <v>0</v>
      </c>
      <c r="G43" s="43">
        <f>'[4]1100'!$D33</f>
        <v>0</v>
      </c>
      <c r="H43" s="43">
        <f>'[5]1100'!$D33</f>
        <v>0</v>
      </c>
      <c r="I43" s="43">
        <f>'[6]1100'!$D33</f>
        <v>0</v>
      </c>
      <c r="J43" s="43">
        <f>'[7]1100'!$D33</f>
        <v>0</v>
      </c>
      <c r="K43" s="31"/>
      <c r="L43" s="1" t="s">
        <v>134</v>
      </c>
      <c r="M43" s="110">
        <f t="shared" si="4"/>
        <v>0</v>
      </c>
      <c r="N43" s="35" t="str">
        <f t="shared" si="5"/>
        <v>--</v>
      </c>
      <c r="O43" s="42">
        <f>'[1]1100'!$L32</f>
        <v>0</v>
      </c>
      <c r="P43" s="42">
        <f>'[2]1100'!$L32</f>
        <v>0</v>
      </c>
      <c r="Q43" s="42">
        <f>'[3]1100'!$L32</f>
        <v>0</v>
      </c>
      <c r="R43" s="42">
        <f>'[4]1100'!$L32</f>
        <v>0</v>
      </c>
      <c r="S43" s="42">
        <f>'[5]1100'!$L32</f>
        <v>0</v>
      </c>
      <c r="T43" s="42">
        <f>'[6]1100'!$L32</f>
        <v>0</v>
      </c>
      <c r="U43" s="42">
        <f>'[7]1100'!$L32</f>
        <v>0</v>
      </c>
    </row>
    <row r="44" spans="1:21" s="32" customFormat="1" ht="18" customHeight="1">
      <c r="A44" s="31" t="s">
        <v>91</v>
      </c>
      <c r="B44" s="110">
        <f t="shared" si="0"/>
        <v>0</v>
      </c>
      <c r="C44" s="35" t="str">
        <f t="shared" si="1"/>
        <v>--</v>
      </c>
      <c r="D44" s="43">
        <f>'[1]1100'!$D34</f>
        <v>0</v>
      </c>
      <c r="E44" s="43">
        <f>'[2]1100'!$D34</f>
        <v>0</v>
      </c>
      <c r="F44" s="43">
        <f>'[3]1100'!$D34</f>
        <v>0</v>
      </c>
      <c r="G44" s="43">
        <f>'[4]1100'!$D34</f>
        <v>0</v>
      </c>
      <c r="H44" s="43">
        <f>'[5]1100'!$D34</f>
        <v>0</v>
      </c>
      <c r="I44" s="43">
        <f>'[6]1100'!$D34</f>
        <v>0</v>
      </c>
      <c r="J44" s="43">
        <f>'[7]1100'!$D34</f>
        <v>0</v>
      </c>
      <c r="K44" s="31"/>
      <c r="L44" s="1" t="s">
        <v>125</v>
      </c>
      <c r="M44" s="110">
        <f t="shared" si="4"/>
        <v>0</v>
      </c>
      <c r="N44" s="35" t="str">
        <f t="shared" si="5"/>
        <v>--</v>
      </c>
      <c r="O44" s="42">
        <f>'[1]1100'!$L33</f>
        <v>0</v>
      </c>
      <c r="P44" s="42">
        <f>'[2]1100'!$L33</f>
        <v>0</v>
      </c>
      <c r="Q44" s="42">
        <f>'[3]1100'!$L33</f>
        <v>0</v>
      </c>
      <c r="R44" s="42">
        <f>'[4]1100'!$L33</f>
        <v>0</v>
      </c>
      <c r="S44" s="42">
        <f>'[5]1100'!$L33</f>
        <v>0</v>
      </c>
      <c r="T44" s="42">
        <f>'[6]1100'!$L33</f>
        <v>0</v>
      </c>
      <c r="U44" s="42">
        <f>'[7]1100'!$L33</f>
        <v>0</v>
      </c>
    </row>
    <row r="45" spans="1:21" s="32" customFormat="1" ht="18" customHeight="1">
      <c r="A45" s="31" t="s">
        <v>92</v>
      </c>
      <c r="B45" s="110">
        <f t="shared" ref="B45:B63" si="6">SUM(D45:J45)</f>
        <v>0</v>
      </c>
      <c r="C45" s="35" t="str">
        <f t="shared" ref="C45:C63" si="7">IF((B45/$B$63)=0,"--",B45/$B$63)</f>
        <v>--</v>
      </c>
      <c r="D45" s="43">
        <f>'[1]1100'!$D35</f>
        <v>0</v>
      </c>
      <c r="E45" s="43">
        <f>'[2]1100'!$D35</f>
        <v>0</v>
      </c>
      <c r="F45" s="43">
        <f>'[3]1100'!$D35</f>
        <v>0</v>
      </c>
      <c r="G45" s="43">
        <f>'[4]1100'!$D35</f>
        <v>0</v>
      </c>
      <c r="H45" s="43">
        <f>'[5]1100'!$D35</f>
        <v>0</v>
      </c>
      <c r="I45" s="43">
        <f>'[6]1100'!$D35</f>
        <v>0</v>
      </c>
      <c r="J45" s="43">
        <f>'[7]1100'!$D35</f>
        <v>0</v>
      </c>
      <c r="K45" s="31"/>
      <c r="L45" s="206" t="s">
        <v>126</v>
      </c>
      <c r="M45" s="110">
        <f t="shared" si="4"/>
        <v>0</v>
      </c>
      <c r="N45" s="35" t="str">
        <f t="shared" si="5"/>
        <v>--</v>
      </c>
      <c r="O45" s="42">
        <f>'[1]1100'!$L34</f>
        <v>0</v>
      </c>
      <c r="P45" s="42">
        <f>'[2]1100'!$L34</f>
        <v>0</v>
      </c>
      <c r="Q45" s="42">
        <f>'[3]1100'!$L34</f>
        <v>0</v>
      </c>
      <c r="R45" s="42">
        <f>'[4]1100'!$L34</f>
        <v>0</v>
      </c>
      <c r="S45" s="42">
        <f>'[5]1100'!$L34</f>
        <v>0</v>
      </c>
      <c r="T45" s="42">
        <f>'[6]1100'!$L34</f>
        <v>0</v>
      </c>
      <c r="U45" s="42">
        <f>'[7]1100'!$L34</f>
        <v>0</v>
      </c>
    </row>
    <row r="46" spans="1:21" s="32" customFormat="1" ht="18" customHeight="1">
      <c r="A46" s="31" t="s">
        <v>93</v>
      </c>
      <c r="B46" s="110">
        <f t="shared" si="6"/>
        <v>0</v>
      </c>
      <c r="C46" s="35" t="str">
        <f t="shared" si="7"/>
        <v>--</v>
      </c>
      <c r="D46" s="43">
        <f>'[1]1100'!$D36</f>
        <v>0</v>
      </c>
      <c r="E46" s="43">
        <f>'[2]1100'!$D36</f>
        <v>0</v>
      </c>
      <c r="F46" s="43">
        <f>'[3]1100'!$D36</f>
        <v>0</v>
      </c>
      <c r="G46" s="43">
        <f>'[4]1100'!$D36</f>
        <v>0</v>
      </c>
      <c r="H46" s="43">
        <f>'[5]1100'!$D36</f>
        <v>0</v>
      </c>
      <c r="I46" s="43">
        <f>'[6]1100'!$D36</f>
        <v>0</v>
      </c>
      <c r="J46" s="43">
        <f>'[7]1100'!$D36</f>
        <v>0</v>
      </c>
      <c r="K46" s="31"/>
      <c r="L46" s="1" t="s">
        <v>9</v>
      </c>
      <c r="M46" s="110">
        <f t="shared" si="4"/>
        <v>0</v>
      </c>
      <c r="N46" s="35" t="str">
        <f t="shared" si="5"/>
        <v>--</v>
      </c>
      <c r="O46" s="42">
        <f>'[1]1100'!$L35</f>
        <v>0</v>
      </c>
      <c r="P46" s="42">
        <f>'[2]1100'!$L35</f>
        <v>0</v>
      </c>
      <c r="Q46" s="42">
        <f>'[3]1100'!$L35</f>
        <v>0</v>
      </c>
      <c r="R46" s="42">
        <f>'[4]1100'!$L35</f>
        <v>0</v>
      </c>
      <c r="S46" s="42">
        <f>'[5]1100'!$L35</f>
        <v>0</v>
      </c>
      <c r="T46" s="42">
        <f>'[6]1100'!$L35</f>
        <v>0</v>
      </c>
      <c r="U46" s="42">
        <f>'[7]1100'!$L35</f>
        <v>0</v>
      </c>
    </row>
    <row r="47" spans="1:21" s="32" customFormat="1" ht="18" customHeight="1">
      <c r="A47" s="31" t="s">
        <v>94</v>
      </c>
      <c r="B47" s="110">
        <f t="shared" si="6"/>
        <v>0</v>
      </c>
      <c r="C47" s="35" t="str">
        <f t="shared" si="7"/>
        <v>--</v>
      </c>
      <c r="D47" s="43">
        <f>'[1]1100'!$D37</f>
        <v>0</v>
      </c>
      <c r="E47" s="43">
        <f>'[2]1100'!$D37</f>
        <v>0</v>
      </c>
      <c r="F47" s="43">
        <f>'[3]1100'!$D37</f>
        <v>0</v>
      </c>
      <c r="G47" s="43">
        <f>'[4]1100'!$D37</f>
        <v>0</v>
      </c>
      <c r="H47" s="43">
        <f>'[5]1100'!$D37</f>
        <v>0</v>
      </c>
      <c r="I47" s="43">
        <f>'[6]1100'!$D37</f>
        <v>0</v>
      </c>
      <c r="J47" s="43">
        <f>'[7]1100'!$D37</f>
        <v>0</v>
      </c>
      <c r="K47" s="31"/>
      <c r="L47" s="4" t="s">
        <v>135</v>
      </c>
      <c r="M47" s="112">
        <f t="shared" si="4"/>
        <v>1206830.0800000001</v>
      </c>
      <c r="N47" s="34">
        <f t="shared" si="5"/>
        <v>1.8580194870295781E-2</v>
      </c>
      <c r="O47" s="42">
        <f>'[1]1100'!$L36</f>
        <v>0.06</v>
      </c>
      <c r="P47" s="42">
        <f>'[2]1100'!$L36</f>
        <v>1206830.02</v>
      </c>
      <c r="Q47" s="42">
        <f>'[3]1100'!$L36</f>
        <v>0</v>
      </c>
      <c r="R47" s="42">
        <f>'[4]1100'!$L36</f>
        <v>0</v>
      </c>
      <c r="S47" s="42">
        <f>'[5]1100'!$L36</f>
        <v>0</v>
      </c>
      <c r="T47" s="42">
        <f>'[6]1100'!$L36</f>
        <v>0</v>
      </c>
      <c r="U47" s="42">
        <f>'[7]1100'!$L36</f>
        <v>0</v>
      </c>
    </row>
    <row r="48" spans="1:21" s="32" customFormat="1" ht="18" customHeight="1">
      <c r="A48" s="31" t="s">
        <v>95</v>
      </c>
      <c r="B48" s="110">
        <f t="shared" si="6"/>
        <v>0</v>
      </c>
      <c r="C48" s="35" t="str">
        <f t="shared" si="7"/>
        <v>--</v>
      </c>
      <c r="D48" s="43">
        <f>'[1]1100'!$D38</f>
        <v>0</v>
      </c>
      <c r="E48" s="43">
        <f>'[2]1100'!$D38</f>
        <v>0</v>
      </c>
      <c r="F48" s="43">
        <f>'[3]1100'!$D38</f>
        <v>0</v>
      </c>
      <c r="G48" s="43">
        <f>'[4]1100'!$D38</f>
        <v>0</v>
      </c>
      <c r="H48" s="43">
        <f>'[5]1100'!$D38</f>
        <v>0</v>
      </c>
      <c r="I48" s="43">
        <f>'[6]1100'!$D38</f>
        <v>0</v>
      </c>
      <c r="J48" s="43">
        <f>'[7]1100'!$D38</f>
        <v>0</v>
      </c>
      <c r="K48" s="31"/>
      <c r="L48" s="1" t="s">
        <v>136</v>
      </c>
      <c r="M48" s="110">
        <f t="shared" si="4"/>
        <v>1206830.0800000001</v>
      </c>
      <c r="N48" s="35">
        <f t="shared" si="5"/>
        <v>1.8580194870295781E-2</v>
      </c>
      <c r="O48" s="42">
        <f>'[1]1100'!$L37</f>
        <v>0.06</v>
      </c>
      <c r="P48" s="42">
        <f>'[2]1100'!$L37</f>
        <v>1206830.02</v>
      </c>
      <c r="Q48" s="42">
        <f>'[3]1100'!$L37</f>
        <v>0</v>
      </c>
      <c r="R48" s="42">
        <f>'[4]1100'!$L37</f>
        <v>0</v>
      </c>
      <c r="S48" s="42">
        <f>'[5]1100'!$L37</f>
        <v>0</v>
      </c>
      <c r="T48" s="42">
        <f>'[6]1100'!$L37</f>
        <v>0</v>
      </c>
      <c r="U48" s="42">
        <f>'[7]1100'!$L37</f>
        <v>0</v>
      </c>
    </row>
    <row r="49" spans="1:21" s="32" customFormat="1" ht="18" customHeight="1">
      <c r="A49" s="60" t="s">
        <v>96</v>
      </c>
      <c r="B49" s="33">
        <f t="shared" si="6"/>
        <v>7944872.2799999993</v>
      </c>
      <c r="C49" s="34">
        <f t="shared" si="7"/>
        <v>0.12231819344609897</v>
      </c>
      <c r="D49" s="43">
        <f>'[1]1100'!$D39</f>
        <v>4652969.0500000007</v>
      </c>
      <c r="E49" s="43">
        <f>'[2]1100'!$D39</f>
        <v>1917791.02</v>
      </c>
      <c r="F49" s="43">
        <f>'[3]1100'!$D39</f>
        <v>77601.05</v>
      </c>
      <c r="G49" s="43">
        <f>'[4]1100'!$D39</f>
        <v>108687.14</v>
      </c>
      <c r="H49" s="43">
        <f>'[5]1100'!$D39</f>
        <v>170202.88999999998</v>
      </c>
      <c r="I49" s="43">
        <f>'[6]1100'!$D39</f>
        <v>89590.82</v>
      </c>
      <c r="J49" s="43">
        <f>'[7]1100'!$D39</f>
        <v>928030.30999999994</v>
      </c>
      <c r="K49" s="31"/>
      <c r="L49" s="1" t="s">
        <v>137</v>
      </c>
      <c r="M49" s="36">
        <f t="shared" si="4"/>
        <v>0</v>
      </c>
      <c r="N49" s="35" t="str">
        <f t="shared" si="5"/>
        <v>--</v>
      </c>
      <c r="O49" s="42">
        <f>'[1]1100'!$L38</f>
        <v>0</v>
      </c>
      <c r="P49" s="42">
        <f>'[2]1100'!$L38</f>
        <v>0</v>
      </c>
      <c r="Q49" s="42">
        <f>'[3]1100'!$L38</f>
        <v>0</v>
      </c>
      <c r="R49" s="42">
        <f>'[4]1100'!$L38</f>
        <v>0</v>
      </c>
      <c r="S49" s="42">
        <f>'[5]1100'!$L38</f>
        <v>0</v>
      </c>
      <c r="T49" s="42">
        <f>'[6]1100'!$L38</f>
        <v>0</v>
      </c>
      <c r="U49" s="42">
        <f>'[7]1100'!$L38</f>
        <v>0</v>
      </c>
    </row>
    <row r="50" spans="1:21" s="32" customFormat="1" ht="18" customHeight="1">
      <c r="A50" s="31" t="s">
        <v>97</v>
      </c>
      <c r="B50" s="110">
        <f t="shared" si="6"/>
        <v>7927248.3199999994</v>
      </c>
      <c r="C50" s="35">
        <f t="shared" si="7"/>
        <v>0.12204685730970909</v>
      </c>
      <c r="D50" s="43">
        <f>'[1]1100'!$D40</f>
        <v>4650966.07</v>
      </c>
      <c r="E50" s="43">
        <f>'[2]1100'!$D40</f>
        <v>1917791.02</v>
      </c>
      <c r="F50" s="43">
        <f>'[3]1100'!$D40</f>
        <v>76978.3</v>
      </c>
      <c r="G50" s="43">
        <f>'[4]1100'!$D40</f>
        <v>108045</v>
      </c>
      <c r="H50" s="43">
        <f>'[5]1100'!$D40</f>
        <v>169953.3</v>
      </c>
      <c r="I50" s="43">
        <f>'[6]1100'!$D40</f>
        <v>89699.02</v>
      </c>
      <c r="J50" s="43">
        <f>'[7]1100'!$D40</f>
        <v>913815.61</v>
      </c>
      <c r="K50" s="31"/>
      <c r="L50" s="4" t="s">
        <v>138</v>
      </c>
      <c r="M50" s="112">
        <f t="shared" si="4"/>
        <v>2836810.6499999994</v>
      </c>
      <c r="N50" s="34">
        <f t="shared" si="5"/>
        <v>4.36751582187365E-2</v>
      </c>
      <c r="O50" s="42">
        <f>'[1]1100'!$L39</f>
        <v>1641347.4</v>
      </c>
      <c r="P50" s="42">
        <f>'[2]1100'!$L39</f>
        <v>402031.69</v>
      </c>
      <c r="Q50" s="42">
        <f>'[3]1100'!$L39</f>
        <v>49289.440000000002</v>
      </c>
      <c r="R50" s="42">
        <f>'[4]1100'!$L39</f>
        <v>261216.88999999998</v>
      </c>
      <c r="S50" s="42">
        <f>'[5]1100'!$L39</f>
        <v>160424.09</v>
      </c>
      <c r="T50" s="42">
        <f>'[6]1100'!$L39</f>
        <v>129097.9</v>
      </c>
      <c r="U50" s="42">
        <f>'[7]1100'!$L39</f>
        <v>193403.24</v>
      </c>
    </row>
    <row r="51" spans="1:21" s="32" customFormat="1" ht="18" customHeight="1">
      <c r="A51" s="31" t="s">
        <v>98</v>
      </c>
      <c r="B51" s="110">
        <f t="shared" si="6"/>
        <v>4599.54</v>
      </c>
      <c r="C51" s="35">
        <f t="shared" si="7"/>
        <v>7.0813904069842401E-5</v>
      </c>
      <c r="D51" s="43">
        <f>'[1]1100'!$D41</f>
        <v>2002.98</v>
      </c>
      <c r="E51" s="43">
        <f>'[2]1100'!$D41</f>
        <v>0</v>
      </c>
      <c r="F51" s="43">
        <f>'[3]1100'!$D41</f>
        <v>-2.02</v>
      </c>
      <c r="G51" s="43">
        <f>'[4]1100'!$D41</f>
        <v>642.14</v>
      </c>
      <c r="H51" s="43">
        <f>'[5]1100'!$D41</f>
        <v>249.59</v>
      </c>
      <c r="I51" s="43">
        <f>'[6]1100'!$D41</f>
        <v>1336.32</v>
      </c>
      <c r="J51" s="43">
        <f>'[7]1100'!$D41</f>
        <v>370.53</v>
      </c>
      <c r="K51" s="31"/>
      <c r="L51" s="1" t="s">
        <v>139</v>
      </c>
      <c r="M51" s="110">
        <f t="shared" si="4"/>
        <v>586724.16999999993</v>
      </c>
      <c r="N51" s="35">
        <f t="shared" si="5"/>
        <v>9.0331270278849428E-3</v>
      </c>
      <c r="O51" s="42">
        <f>'[1]1100'!$L40</f>
        <v>194815.56</v>
      </c>
      <c r="P51" s="42">
        <f>'[2]1100'!$L40</f>
        <v>54350.61</v>
      </c>
      <c r="Q51" s="42">
        <f>'[3]1100'!$L40</f>
        <v>16668.419999999998</v>
      </c>
      <c r="R51" s="42">
        <f>'[4]1100'!$L40</f>
        <v>95073.84</v>
      </c>
      <c r="S51" s="42">
        <f>'[5]1100'!$L40</f>
        <v>127092.03</v>
      </c>
      <c r="T51" s="42">
        <f>'[6]1100'!$L40</f>
        <v>21733.8</v>
      </c>
      <c r="U51" s="42">
        <f>'[7]1100'!$L40</f>
        <v>76989.91</v>
      </c>
    </row>
    <row r="52" spans="1:21" s="32" customFormat="1" ht="18" customHeight="1">
      <c r="A52" s="31" t="s">
        <v>99</v>
      </c>
      <c r="B52" s="110">
        <f t="shared" si="6"/>
        <v>0</v>
      </c>
      <c r="C52" s="35" t="str">
        <f t="shared" si="7"/>
        <v>--</v>
      </c>
      <c r="D52" s="43">
        <f>'[1]1100'!$D42</f>
        <v>0</v>
      </c>
      <c r="E52" s="43">
        <f>'[2]1100'!$D42</f>
        <v>0</v>
      </c>
      <c r="F52" s="43">
        <f>'[3]1100'!$D42</f>
        <v>0</v>
      </c>
      <c r="G52" s="43">
        <f>'[4]1100'!$D42</f>
        <v>0</v>
      </c>
      <c r="H52" s="43">
        <f>'[5]1100'!$D42</f>
        <v>0</v>
      </c>
      <c r="I52" s="43">
        <f>'[6]1100'!$D42</f>
        <v>0</v>
      </c>
      <c r="J52" s="43">
        <f>'[7]1100'!$D42</f>
        <v>0</v>
      </c>
      <c r="K52" s="31"/>
      <c r="L52" s="1" t="s">
        <v>140</v>
      </c>
      <c r="M52" s="110">
        <f t="shared" si="4"/>
        <v>723644.94</v>
      </c>
      <c r="N52" s="35">
        <f t="shared" si="5"/>
        <v>1.1141140931872941E-2</v>
      </c>
      <c r="O52" s="42">
        <f>'[1]1100'!$L41</f>
        <v>497861.56</v>
      </c>
      <c r="P52" s="42">
        <f>'[2]1100'!$L41</f>
        <v>59762.43</v>
      </c>
      <c r="Q52" s="42">
        <f>'[3]1100'!$L41</f>
        <v>0</v>
      </c>
      <c r="R52" s="42">
        <f>'[4]1100'!$L41</f>
        <v>164887.57999999999</v>
      </c>
      <c r="S52" s="42">
        <f>'[5]1100'!$L41</f>
        <v>0</v>
      </c>
      <c r="T52" s="42">
        <f>'[6]1100'!$L41</f>
        <v>0</v>
      </c>
      <c r="U52" s="42">
        <f>'[7]1100'!$L41</f>
        <v>1133.3699999999999</v>
      </c>
    </row>
    <row r="53" spans="1:21" s="32" customFormat="1" ht="18" customHeight="1">
      <c r="A53" s="31" t="s">
        <v>100</v>
      </c>
      <c r="B53" s="110">
        <f t="shared" si="6"/>
        <v>12299.970000000001</v>
      </c>
      <c r="C53" s="35">
        <f t="shared" si="7"/>
        <v>1.8936869679183997E-4</v>
      </c>
      <c r="D53" s="43">
        <f>'[1]1100'!$D43</f>
        <v>0</v>
      </c>
      <c r="E53" s="43">
        <f>'[2]1100'!$D43</f>
        <v>0</v>
      </c>
      <c r="F53" s="43">
        <f>'[3]1100'!$D43</f>
        <v>624.77</v>
      </c>
      <c r="G53" s="43">
        <f>'[4]1100'!$D43</f>
        <v>0</v>
      </c>
      <c r="H53" s="43">
        <f>'[5]1100'!$D43</f>
        <v>0</v>
      </c>
      <c r="I53" s="43">
        <f>'[6]1100'!$D43</f>
        <v>0</v>
      </c>
      <c r="J53" s="43">
        <f>'[7]1100'!$D43</f>
        <v>11675.2</v>
      </c>
      <c r="K53" s="31"/>
      <c r="L53" s="1" t="s">
        <v>141</v>
      </c>
      <c r="M53" s="110">
        <f t="shared" si="4"/>
        <v>0</v>
      </c>
      <c r="N53" s="35" t="str">
        <f t="shared" si="5"/>
        <v>--</v>
      </c>
      <c r="O53" s="42">
        <f>'[1]1100'!$L42</f>
        <v>0</v>
      </c>
      <c r="P53" s="42">
        <f>'[2]1100'!$L42</f>
        <v>0</v>
      </c>
      <c r="Q53" s="42">
        <f>'[3]1100'!$L42</f>
        <v>0</v>
      </c>
      <c r="R53" s="42">
        <f>'[4]1100'!$L42</f>
        <v>0</v>
      </c>
      <c r="S53" s="42">
        <f>'[5]1100'!$L42</f>
        <v>0</v>
      </c>
      <c r="T53" s="42">
        <f>'[6]1100'!$L42</f>
        <v>0</v>
      </c>
      <c r="U53" s="42">
        <f>'[7]1100'!$L42</f>
        <v>0</v>
      </c>
    </row>
    <row r="54" spans="1:21" s="32" customFormat="1" ht="18" customHeight="1">
      <c r="A54" s="31" t="s">
        <v>101</v>
      </c>
      <c r="B54" s="110">
        <f t="shared" si="6"/>
        <v>2168.9699999999998</v>
      </c>
      <c r="C54" s="35">
        <f t="shared" si="7"/>
        <v>3.3393172689087622E-5</v>
      </c>
      <c r="D54" s="43">
        <f>'[1]1100'!$D44</f>
        <v>0</v>
      </c>
      <c r="E54" s="43">
        <f>'[2]1100'!$D44</f>
        <v>0</v>
      </c>
      <c r="F54" s="43">
        <f>'[3]1100'!$D44</f>
        <v>0</v>
      </c>
      <c r="G54" s="43">
        <f>'[4]1100'!$D44</f>
        <v>0</v>
      </c>
      <c r="H54" s="43">
        <f>'[5]1100'!$D44</f>
        <v>0</v>
      </c>
      <c r="I54" s="43">
        <f>'[6]1100'!$D44</f>
        <v>0</v>
      </c>
      <c r="J54" s="43">
        <f>'[7]1100'!$D44</f>
        <v>2168.9699999999998</v>
      </c>
      <c r="K54" s="31"/>
      <c r="L54" s="1" t="s">
        <v>100</v>
      </c>
      <c r="M54" s="110">
        <f t="shared" si="4"/>
        <v>1460516.57</v>
      </c>
      <c r="N54" s="35">
        <f t="shared" si="5"/>
        <v>2.2485918217994689E-2</v>
      </c>
      <c r="O54" s="42">
        <f>'[1]1100'!$L43</f>
        <v>891349.03</v>
      </c>
      <c r="P54" s="42">
        <f>'[2]1100'!$L43</f>
        <v>281669.59999999998</v>
      </c>
      <c r="Q54" s="42">
        <f>'[3]1100'!$L43</f>
        <v>31521.86</v>
      </c>
      <c r="R54" s="42">
        <f>'[4]1100'!$L43</f>
        <v>0</v>
      </c>
      <c r="S54" s="42">
        <f>'[5]1100'!$L43</f>
        <v>33332.06</v>
      </c>
      <c r="T54" s="42">
        <f>'[6]1100'!$L43</f>
        <v>107364.06</v>
      </c>
      <c r="U54" s="42">
        <f>'[7]1100'!$L43</f>
        <v>115279.96</v>
      </c>
    </row>
    <row r="55" spans="1:21" s="32" customFormat="1" ht="18" customHeight="1">
      <c r="A55" s="31" t="s">
        <v>95</v>
      </c>
      <c r="B55" s="110">
        <f t="shared" si="6"/>
        <v>-1444.52</v>
      </c>
      <c r="C55" s="35">
        <f t="shared" si="7"/>
        <v>-2.2239637160883209E-5</v>
      </c>
      <c r="D55" s="43">
        <f>'[1]1100'!$D45</f>
        <v>0</v>
      </c>
      <c r="E55" s="43">
        <f>'[2]1100'!$D45</f>
        <v>0</v>
      </c>
      <c r="F55" s="43">
        <f>'[3]1100'!$D45</f>
        <v>0</v>
      </c>
      <c r="G55" s="43">
        <f>'[4]1100'!$D45</f>
        <v>0</v>
      </c>
      <c r="H55" s="43">
        <f>'[5]1100'!$D45</f>
        <v>0</v>
      </c>
      <c r="I55" s="43">
        <f>'[6]1100'!$D45</f>
        <v>-1444.52</v>
      </c>
      <c r="J55" s="43">
        <f>'[7]1100'!$D45</f>
        <v>0</v>
      </c>
      <c r="K55" s="31"/>
      <c r="L55" s="1" t="s">
        <v>142</v>
      </c>
      <c r="M55" s="110">
        <f t="shared" si="4"/>
        <v>1099.2</v>
      </c>
      <c r="N55" s="35">
        <f t="shared" si="5"/>
        <v>1.6923136520950093E-5</v>
      </c>
      <c r="O55" s="42">
        <f>'[1]1100'!$L44</f>
        <v>0</v>
      </c>
      <c r="P55" s="42">
        <f>'[2]1100'!$L44</f>
        <v>0</v>
      </c>
      <c r="Q55" s="42">
        <f>'[3]1100'!$L44</f>
        <v>1099.1600000000001</v>
      </c>
      <c r="R55" s="42">
        <f>'[4]1100'!$L44</f>
        <v>0</v>
      </c>
      <c r="S55" s="42">
        <f>'[5]1100'!$L44</f>
        <v>0</v>
      </c>
      <c r="T55" s="42">
        <f>'[6]1100'!$L44</f>
        <v>0.04</v>
      </c>
      <c r="U55" s="42">
        <f>'[7]1100'!$L44</f>
        <v>0</v>
      </c>
    </row>
    <row r="56" spans="1:21" s="32" customFormat="1" ht="18" customHeight="1">
      <c r="A56" s="60" t="s">
        <v>102</v>
      </c>
      <c r="B56" s="33">
        <f t="shared" si="6"/>
        <v>68043.05</v>
      </c>
      <c r="C56" s="34">
        <f t="shared" si="7"/>
        <v>1.0475817180238655E-3</v>
      </c>
      <c r="D56" s="43">
        <f>'[1]1100'!$D46</f>
        <v>62807.68</v>
      </c>
      <c r="E56" s="43">
        <f>'[2]1100'!$D46</f>
        <v>5150.37</v>
      </c>
      <c r="F56" s="43">
        <f>'[3]1100'!$D46</f>
        <v>0</v>
      </c>
      <c r="G56" s="43">
        <f>'[4]1100'!$D46</f>
        <v>85</v>
      </c>
      <c r="H56" s="43">
        <f>'[5]1100'!$D46</f>
        <v>0</v>
      </c>
      <c r="I56" s="43">
        <f>'[6]1100'!$D46</f>
        <v>0</v>
      </c>
      <c r="J56" s="43">
        <f>'[7]1100'!$D46</f>
        <v>0</v>
      </c>
      <c r="K56" s="31"/>
      <c r="L56" s="1" t="s">
        <v>143</v>
      </c>
      <c r="M56" s="36">
        <f t="shared" si="4"/>
        <v>64825.770000000004</v>
      </c>
      <c r="N56" s="35">
        <f t="shared" si="5"/>
        <v>9.9804890446298289E-4</v>
      </c>
      <c r="O56" s="42">
        <f>'[1]1100'!$L45</f>
        <v>57321.25</v>
      </c>
      <c r="P56" s="42">
        <f>'[2]1100'!$L45</f>
        <v>6249.05</v>
      </c>
      <c r="Q56" s="42">
        <f>'[3]1100'!$L45</f>
        <v>0</v>
      </c>
      <c r="R56" s="42">
        <f>'[4]1100'!$L45</f>
        <v>1255.47</v>
      </c>
      <c r="S56" s="42">
        <f>'[5]1100'!$L45</f>
        <v>0</v>
      </c>
      <c r="T56" s="42">
        <f>'[6]1100'!$L45</f>
        <v>0</v>
      </c>
      <c r="U56" s="42">
        <f>'[7]1100'!$L45</f>
        <v>0</v>
      </c>
    </row>
    <row r="57" spans="1:21" s="32" customFormat="1" ht="18" customHeight="1">
      <c r="A57" s="31" t="s">
        <v>103</v>
      </c>
      <c r="B57" s="110">
        <f t="shared" si="6"/>
        <v>0</v>
      </c>
      <c r="C57" s="35" t="str">
        <f t="shared" si="7"/>
        <v>--</v>
      </c>
      <c r="D57" s="43">
        <f>'[1]1100'!$D47</f>
        <v>0</v>
      </c>
      <c r="E57" s="43">
        <f>'[2]1100'!$D47</f>
        <v>0</v>
      </c>
      <c r="F57" s="43">
        <f>'[3]1100'!$D47</f>
        <v>0</v>
      </c>
      <c r="G57" s="43">
        <f>'[4]1100'!$D47</f>
        <v>0</v>
      </c>
      <c r="H57" s="43">
        <f>'[5]1100'!$D47</f>
        <v>0</v>
      </c>
      <c r="I57" s="43">
        <f>'[6]1100'!$D47</f>
        <v>0</v>
      </c>
      <c r="J57" s="43">
        <f>'[7]1100'!$D47</f>
        <v>0</v>
      </c>
      <c r="K57" s="31"/>
      <c r="L57" s="60" t="s">
        <v>144</v>
      </c>
      <c r="M57" s="112">
        <f t="shared" si="4"/>
        <v>0</v>
      </c>
      <c r="N57" s="34" t="str">
        <f t="shared" si="5"/>
        <v>--</v>
      </c>
      <c r="O57" s="42">
        <f>'[1]1100'!$L46</f>
        <v>0</v>
      </c>
      <c r="P57" s="42">
        <f>'[2]1100'!$L46</f>
        <v>0</v>
      </c>
      <c r="Q57" s="42">
        <f>'[3]1100'!$L46</f>
        <v>0</v>
      </c>
      <c r="R57" s="42">
        <f>'[4]1100'!$L46</f>
        <v>0</v>
      </c>
      <c r="S57" s="42">
        <f>'[5]1100'!$L46</f>
        <v>0</v>
      </c>
      <c r="T57" s="42">
        <f>'[6]1100'!$L46</f>
        <v>0</v>
      </c>
      <c r="U57" s="42">
        <f>'[7]1100'!$L46</f>
        <v>0</v>
      </c>
    </row>
    <row r="58" spans="1:21" s="32" customFormat="1" ht="18" customHeight="1">
      <c r="A58" s="31" t="s">
        <v>104</v>
      </c>
      <c r="B58" s="110">
        <f t="shared" si="6"/>
        <v>67958.05</v>
      </c>
      <c r="C58" s="34">
        <f t="shared" si="7"/>
        <v>1.0462730693664049E-3</v>
      </c>
      <c r="D58" s="43">
        <f>'[1]1100'!$D48</f>
        <v>62807.68</v>
      </c>
      <c r="E58" s="43">
        <f>'[2]1100'!$D48</f>
        <v>5150.37</v>
      </c>
      <c r="F58" s="43">
        <f>'[3]1100'!$D48</f>
        <v>0</v>
      </c>
      <c r="G58" s="43">
        <f>'[4]1100'!$D48</f>
        <v>0</v>
      </c>
      <c r="H58" s="43">
        <f>'[5]1100'!$D48</f>
        <v>0</v>
      </c>
      <c r="I58" s="43">
        <f>'[6]1100'!$D48</f>
        <v>0</v>
      </c>
      <c r="J58" s="43">
        <f>'[7]1100'!$D48</f>
        <v>0</v>
      </c>
      <c r="K58" s="31"/>
      <c r="L58" s="210" t="s">
        <v>145</v>
      </c>
      <c r="M58" s="208">
        <f t="shared" si="4"/>
        <v>0</v>
      </c>
      <c r="N58" s="209" t="str">
        <f t="shared" si="5"/>
        <v>--</v>
      </c>
      <c r="O58" s="42">
        <f>'[1]1100'!$L47</f>
        <v>0</v>
      </c>
      <c r="P58" s="42">
        <f>'[2]1100'!$L47</f>
        <v>0</v>
      </c>
      <c r="Q58" s="42">
        <f>'[3]1100'!$L47</f>
        <v>0</v>
      </c>
      <c r="R58" s="42">
        <f>'[4]1100'!$L47</f>
        <v>0</v>
      </c>
      <c r="S58" s="42">
        <f>'[5]1100'!$L47</f>
        <v>0</v>
      </c>
      <c r="T58" s="42">
        <f>'[6]1100'!$L47</f>
        <v>0</v>
      </c>
      <c r="U58" s="42">
        <f>'[7]1100'!$L47</f>
        <v>0</v>
      </c>
    </row>
    <row r="59" spans="1:21" s="32" customFormat="1" ht="18" customHeight="1">
      <c r="A59" s="31" t="s">
        <v>105</v>
      </c>
      <c r="B59" s="110">
        <f t="shared" si="6"/>
        <v>85</v>
      </c>
      <c r="C59" s="35">
        <f t="shared" si="7"/>
        <v>1.3086486574606602E-6</v>
      </c>
      <c r="D59" s="43">
        <f>'[1]1100'!$D49</f>
        <v>0</v>
      </c>
      <c r="E59" s="43">
        <f>'[2]1100'!$D49</f>
        <v>0</v>
      </c>
      <c r="F59" s="43">
        <f>'[3]1100'!$D49</f>
        <v>0</v>
      </c>
      <c r="G59" s="43">
        <f>'[4]1100'!$D49</f>
        <v>85</v>
      </c>
      <c r="H59" s="43">
        <f>'[5]1100'!$D49</f>
        <v>0</v>
      </c>
      <c r="I59" s="43">
        <f>'[6]1100'!$D49</f>
        <v>0</v>
      </c>
      <c r="J59" s="43">
        <f>'[7]1100'!$D49</f>
        <v>0</v>
      </c>
      <c r="K59" s="31"/>
      <c r="L59" s="31" t="s">
        <v>146</v>
      </c>
      <c r="M59" s="110">
        <f t="shared" si="4"/>
        <v>0</v>
      </c>
      <c r="N59" s="35" t="str">
        <f t="shared" si="5"/>
        <v>--</v>
      </c>
      <c r="O59" s="42">
        <f>'[1]1100'!$L48</f>
        <v>0</v>
      </c>
      <c r="P59" s="42">
        <f>'[2]1100'!$L48</f>
        <v>0</v>
      </c>
      <c r="Q59" s="42">
        <f>'[3]1100'!$L48</f>
        <v>0</v>
      </c>
      <c r="R59" s="42">
        <f>'[4]1100'!$L48</f>
        <v>0</v>
      </c>
      <c r="S59" s="42">
        <f>'[5]1100'!$L48</f>
        <v>0</v>
      </c>
      <c r="T59" s="42">
        <f>'[6]1100'!$L48</f>
        <v>0</v>
      </c>
      <c r="U59" s="42">
        <f>'[7]1100'!$L48</f>
        <v>0</v>
      </c>
    </row>
    <row r="60" spans="1:21" s="32" customFormat="1" ht="18" customHeight="1">
      <c r="A60" s="31" t="s">
        <v>87</v>
      </c>
      <c r="B60" s="110">
        <f t="shared" si="6"/>
        <v>0</v>
      </c>
      <c r="C60" s="35" t="str">
        <f t="shared" si="7"/>
        <v>--</v>
      </c>
      <c r="D60" s="43">
        <f>'[1]1100'!$D50</f>
        <v>0</v>
      </c>
      <c r="E60" s="43">
        <f>'[2]1100'!$D50</f>
        <v>0</v>
      </c>
      <c r="F60" s="43">
        <f>'[3]1100'!$D50</f>
        <v>0</v>
      </c>
      <c r="G60" s="43">
        <f>'[4]1100'!$D50</f>
        <v>0</v>
      </c>
      <c r="H60" s="43">
        <f>'[5]1100'!$D50</f>
        <v>0</v>
      </c>
      <c r="I60" s="43">
        <f>'[6]1100'!$D50</f>
        <v>0</v>
      </c>
      <c r="J60" s="43">
        <f>'[7]1100'!$D50</f>
        <v>0</v>
      </c>
      <c r="K60" s="31"/>
      <c r="L60" s="3"/>
      <c r="M60" s="110"/>
      <c r="N60" s="34"/>
      <c r="O60" s="42"/>
      <c r="P60" s="42"/>
      <c r="Q60" s="42"/>
      <c r="R60" s="42"/>
      <c r="S60" s="42"/>
      <c r="T60" s="42"/>
      <c r="U60" s="42"/>
    </row>
    <row r="61" spans="1:21" s="32" customFormat="1" ht="18" customHeight="1">
      <c r="A61" s="60" t="s">
        <v>106</v>
      </c>
      <c r="B61" s="33">
        <f t="shared" si="6"/>
        <v>7210773.5999999996</v>
      </c>
      <c r="C61" s="34">
        <f t="shared" si="7"/>
        <v>0.11101610812815024</v>
      </c>
      <c r="D61" s="43">
        <f>'[1]1100'!$D51</f>
        <v>4034550.86</v>
      </c>
      <c r="E61" s="43">
        <f>'[2]1100'!$D51</f>
        <v>1123852.45</v>
      </c>
      <c r="F61" s="43">
        <f>'[3]1100'!$D51</f>
        <v>403600.46</v>
      </c>
      <c r="G61" s="43">
        <f>'[4]1100'!$D51</f>
        <v>579558.97</v>
      </c>
      <c r="H61" s="43">
        <f>'[5]1100'!$D51</f>
        <v>69170.240000000005</v>
      </c>
      <c r="I61" s="43">
        <f>'[6]1100'!$D51</f>
        <v>304737.52</v>
      </c>
      <c r="J61" s="43">
        <f>'[7]1100'!$D51</f>
        <v>695303.1</v>
      </c>
      <c r="K61" s="31"/>
      <c r="L61" s="31"/>
      <c r="M61" s="33"/>
      <c r="N61" s="34"/>
    </row>
    <row r="62" spans="1:21" s="32" customFormat="1" ht="18" customHeight="1">
      <c r="A62" s="60" t="s">
        <v>107</v>
      </c>
      <c r="B62" s="33">
        <f t="shared" si="6"/>
        <v>28680.75</v>
      </c>
      <c r="C62" s="34">
        <f t="shared" si="7"/>
        <v>4.4156499979370386E-4</v>
      </c>
      <c r="D62" s="43">
        <f>'[1]1100'!$D52</f>
        <v>27524.080000000002</v>
      </c>
      <c r="E62" s="43">
        <f>'[2]1100'!$D52</f>
        <v>1156.67</v>
      </c>
      <c r="F62" s="43">
        <f>'[3]1100'!$D52</f>
        <v>0</v>
      </c>
      <c r="G62" s="43">
        <f>'[4]1100'!$D52</f>
        <v>0</v>
      </c>
      <c r="H62" s="43">
        <f>'[5]1100'!$D52</f>
        <v>0</v>
      </c>
      <c r="I62" s="43">
        <f>'[6]1100'!$D52</f>
        <v>0</v>
      </c>
      <c r="J62" s="43">
        <f>'[7]1100'!$D52</f>
        <v>0</v>
      </c>
      <c r="K62" s="31"/>
      <c r="L62" s="3"/>
      <c r="M62" s="33"/>
      <c r="N62" s="34"/>
    </row>
    <row r="63" spans="1:21" s="32" customFormat="1" ht="18" customHeight="1" thickBot="1">
      <c r="A63" s="215" t="s">
        <v>108</v>
      </c>
      <c r="B63" s="214">
        <f t="shared" si="6"/>
        <v>64952498.530000001</v>
      </c>
      <c r="C63" s="216">
        <f t="shared" si="7"/>
        <v>1</v>
      </c>
      <c r="D63" s="43">
        <f>'[1]1100'!$D53</f>
        <v>45414889.580000006</v>
      </c>
      <c r="E63" s="43">
        <f>'[2]1100'!$D53</f>
        <v>7765292.5499999989</v>
      </c>
      <c r="F63" s="43">
        <f>'[3]1100'!$D53</f>
        <v>638989.77</v>
      </c>
      <c r="G63" s="43">
        <f>'[4]1100'!$D53</f>
        <v>6758779.4299999997</v>
      </c>
      <c r="H63" s="43">
        <f>'[5]1100'!$D53</f>
        <v>282871.5</v>
      </c>
      <c r="I63" s="43">
        <f>'[6]1100'!$D53</f>
        <v>1304428.8</v>
      </c>
      <c r="J63" s="43">
        <f>'[7]1100'!$D53</f>
        <v>2787246.8999999994</v>
      </c>
      <c r="K63" s="31"/>
      <c r="L63" s="215" t="s">
        <v>147</v>
      </c>
      <c r="M63" s="214">
        <f>SUM(O63:U63)</f>
        <v>64952498.529999994</v>
      </c>
      <c r="N63" s="216">
        <f>IF((M63/$M$63)=0,"--",M63/$M$63)</f>
        <v>1</v>
      </c>
      <c r="O63" s="42">
        <f>'[1]1100'!$L49</f>
        <v>45414889.579999998</v>
      </c>
      <c r="P63" s="42">
        <f>'[2]1100'!$L49</f>
        <v>7765292.5499999989</v>
      </c>
      <c r="Q63" s="42">
        <f>'[3]1100'!$L49</f>
        <v>638989.77</v>
      </c>
      <c r="R63" s="42">
        <f>'[4]1100'!$L49</f>
        <v>6758779.4299999997</v>
      </c>
      <c r="S63" s="42">
        <f>'[5]1100'!$L49</f>
        <v>282871.5</v>
      </c>
      <c r="T63" s="42">
        <f>'[6]1100'!$L49</f>
        <v>1304428.7999999998</v>
      </c>
      <c r="U63" s="42">
        <f>'[7]1100'!$L49</f>
        <v>2787246.8999999994</v>
      </c>
    </row>
    <row r="64" spans="1:21" s="32" customFormat="1" ht="18" customHeight="1">
      <c r="B64" s="39"/>
      <c r="C64" s="39"/>
      <c r="D64" s="35"/>
      <c r="E64" s="35"/>
      <c r="F64" s="35"/>
      <c r="G64" s="35"/>
      <c r="H64" s="35"/>
      <c r="I64" s="35"/>
      <c r="J64" s="35"/>
      <c r="K64" s="31"/>
      <c r="M64" s="39"/>
    </row>
    <row r="65" spans="1:14" s="32" customFormat="1" ht="18" customHeight="1">
      <c r="B65" s="39"/>
      <c r="C65" s="39"/>
      <c r="D65" s="35"/>
      <c r="E65" s="35"/>
      <c r="F65" s="35"/>
      <c r="G65" s="35"/>
      <c r="H65" s="35"/>
      <c r="I65" s="35"/>
      <c r="J65" s="35"/>
      <c r="K65" s="31"/>
      <c r="M65" s="39"/>
    </row>
    <row r="66" spans="1:14" s="32" customFormat="1" ht="18" customHeight="1">
      <c r="A66" s="60" t="s">
        <v>458</v>
      </c>
      <c r="B66" s="39"/>
      <c r="C66" s="39"/>
      <c r="D66" s="35"/>
      <c r="E66" s="35"/>
      <c r="F66" s="35"/>
      <c r="G66" s="35"/>
      <c r="H66" s="35"/>
      <c r="I66" s="35"/>
      <c r="J66" s="35"/>
      <c r="K66" s="31"/>
      <c r="M66" s="39"/>
    </row>
    <row r="67" spans="1:14" s="32" customFormat="1" ht="18" customHeight="1">
      <c r="A67" s="31" t="s">
        <v>459</v>
      </c>
      <c r="B67" s="39"/>
      <c r="C67" s="39"/>
      <c r="D67" s="35"/>
      <c r="E67" s="35"/>
      <c r="F67" s="35"/>
      <c r="G67" s="35"/>
      <c r="H67" s="35"/>
      <c r="I67" s="35"/>
      <c r="J67" s="35"/>
      <c r="K67" s="31"/>
      <c r="M67" s="39"/>
    </row>
    <row r="68" spans="1:14" s="32" customFormat="1" ht="18" customHeight="1">
      <c r="B68" s="39"/>
      <c r="C68" s="39"/>
      <c r="D68" s="35"/>
      <c r="E68" s="35"/>
      <c r="F68" s="35"/>
      <c r="G68" s="35"/>
      <c r="H68" s="35"/>
      <c r="I68" s="35"/>
      <c r="J68" s="35"/>
      <c r="K68" s="31"/>
      <c r="M68" s="39"/>
    </row>
    <row r="69" spans="1:14" s="32" customFormat="1" ht="18" customHeight="1">
      <c r="B69" s="39"/>
      <c r="C69" s="39"/>
      <c r="D69" s="34"/>
      <c r="E69" s="34"/>
      <c r="F69" s="34"/>
      <c r="G69" s="34"/>
      <c r="H69" s="34"/>
      <c r="I69" s="34"/>
      <c r="J69" s="34"/>
      <c r="K69" s="31"/>
      <c r="M69" s="39"/>
    </row>
    <row r="70" spans="1:14" s="32" customFormat="1" ht="18" customHeight="1">
      <c r="B70" s="39"/>
      <c r="C70" s="39"/>
      <c r="D70" s="35"/>
      <c r="E70" s="35"/>
      <c r="F70" s="35"/>
      <c r="G70" s="35"/>
      <c r="H70" s="35"/>
      <c r="I70" s="35"/>
      <c r="J70" s="35"/>
      <c r="K70" s="31"/>
      <c r="M70" s="39"/>
    </row>
    <row r="71" spans="1:14" s="32" customFormat="1" ht="18" customHeight="1">
      <c r="A71" s="3"/>
      <c r="B71" s="26"/>
      <c r="C71" s="26"/>
      <c r="D71" s="35"/>
      <c r="E71" s="35"/>
      <c r="F71" s="35"/>
      <c r="G71" s="35"/>
      <c r="H71" s="35"/>
      <c r="I71" s="35"/>
      <c r="J71" s="35"/>
      <c r="K71" s="31"/>
      <c r="L71" s="3"/>
      <c r="M71" s="26"/>
      <c r="N71" s="3"/>
    </row>
    <row r="72" spans="1:14" s="32" customFormat="1" ht="18" customHeight="1">
      <c r="A72" s="3"/>
      <c r="B72" s="26"/>
      <c r="C72" s="26"/>
      <c r="D72" s="35"/>
      <c r="E72" s="35"/>
      <c r="F72" s="35"/>
      <c r="G72" s="35"/>
      <c r="H72" s="35"/>
      <c r="I72" s="35"/>
      <c r="J72" s="35"/>
      <c r="K72" s="31"/>
      <c r="L72" s="3"/>
      <c r="M72" s="26"/>
      <c r="N72" s="3"/>
    </row>
    <row r="73" spans="1:14" s="32" customFormat="1" ht="18" customHeight="1">
      <c r="A73" s="3"/>
      <c r="B73" s="26"/>
      <c r="C73" s="26"/>
      <c r="D73" s="35"/>
      <c r="E73" s="35"/>
      <c r="F73" s="35"/>
      <c r="G73" s="35"/>
      <c r="H73" s="35"/>
      <c r="I73" s="35"/>
      <c r="J73" s="35"/>
      <c r="K73" s="31"/>
      <c r="L73" s="3"/>
      <c r="M73" s="26"/>
      <c r="N73" s="3"/>
    </row>
    <row r="74" spans="1:14" s="32" customFormat="1" ht="18" customHeight="1">
      <c r="A74" s="3"/>
      <c r="B74" s="26"/>
      <c r="C74" s="26"/>
      <c r="D74" s="35"/>
      <c r="E74" s="35"/>
      <c r="F74" s="35"/>
      <c r="G74" s="35"/>
      <c r="H74" s="35"/>
      <c r="I74" s="35"/>
      <c r="J74" s="35"/>
      <c r="K74" s="31"/>
      <c r="L74" s="3"/>
      <c r="M74" s="26"/>
      <c r="N74" s="3"/>
    </row>
    <row r="75" spans="1:14" s="32" customFormat="1" ht="18" customHeight="1">
      <c r="A75" s="3"/>
      <c r="B75" s="26"/>
      <c r="C75" s="26"/>
      <c r="D75" s="35"/>
      <c r="E75" s="35"/>
      <c r="F75" s="35"/>
      <c r="G75" s="35"/>
      <c r="H75" s="35"/>
      <c r="I75" s="35"/>
      <c r="J75" s="35"/>
      <c r="K75" s="31"/>
      <c r="L75" s="3"/>
      <c r="M75" s="26"/>
      <c r="N75" s="3"/>
    </row>
    <row r="76" spans="1:14" s="32" customFormat="1" ht="18" customHeight="1">
      <c r="A76" s="3"/>
      <c r="B76" s="26"/>
      <c r="C76" s="26"/>
      <c r="D76" s="34"/>
      <c r="E76" s="34"/>
      <c r="F76" s="34"/>
      <c r="G76" s="34"/>
      <c r="H76" s="34"/>
      <c r="I76" s="34"/>
      <c r="J76" s="34"/>
      <c r="K76" s="31"/>
      <c r="L76" s="3"/>
      <c r="M76" s="26"/>
      <c r="N76" s="3"/>
    </row>
    <row r="77" spans="1:14" s="32" customFormat="1" ht="18" customHeight="1">
      <c r="A77" s="3"/>
      <c r="B77" s="26"/>
      <c r="C77" s="26"/>
      <c r="D77" s="35"/>
      <c r="E77" s="35"/>
      <c r="F77" s="35"/>
      <c r="G77" s="35"/>
      <c r="H77" s="35"/>
      <c r="I77" s="35"/>
      <c r="J77" s="35"/>
      <c r="K77" s="31"/>
      <c r="L77" s="3"/>
      <c r="M77" s="26"/>
      <c r="N77" s="3"/>
    </row>
    <row r="78" spans="1:14" s="32" customFormat="1" ht="18" customHeight="1">
      <c r="A78" s="3"/>
      <c r="B78" s="26"/>
      <c r="C78" s="26"/>
      <c r="D78" s="35"/>
      <c r="E78" s="35"/>
      <c r="F78" s="35"/>
      <c r="G78" s="35"/>
      <c r="H78" s="35"/>
      <c r="I78" s="35"/>
      <c r="J78" s="35"/>
      <c r="K78" s="31"/>
      <c r="L78" s="3"/>
      <c r="M78" s="26"/>
      <c r="N78" s="3"/>
    </row>
    <row r="79" spans="1:14" s="32" customFormat="1" ht="18" customHeight="1">
      <c r="A79" s="3"/>
      <c r="B79" s="26"/>
      <c r="C79" s="26"/>
      <c r="D79" s="35"/>
      <c r="E79" s="35"/>
      <c r="F79" s="35"/>
      <c r="G79" s="35"/>
      <c r="H79" s="35"/>
      <c r="I79" s="35"/>
      <c r="J79" s="35"/>
      <c r="K79" s="31"/>
      <c r="L79" s="3"/>
      <c r="M79" s="26"/>
      <c r="N79" s="3"/>
    </row>
    <row r="80" spans="1:14" s="32" customFormat="1" ht="18" customHeight="1">
      <c r="A80" s="3"/>
      <c r="B80" s="26"/>
      <c r="C80" s="26"/>
      <c r="D80" s="35"/>
      <c r="E80" s="35"/>
      <c r="F80" s="35"/>
      <c r="G80" s="35"/>
      <c r="H80" s="35"/>
      <c r="I80" s="35"/>
      <c r="J80" s="35"/>
      <c r="K80" s="31"/>
      <c r="L80" s="3"/>
      <c r="M80" s="26"/>
      <c r="N80" s="3"/>
    </row>
    <row r="81" spans="1:22" s="32" customFormat="1" ht="18" customHeight="1">
      <c r="A81" s="3"/>
      <c r="B81" s="26"/>
      <c r="C81" s="26"/>
      <c r="D81" s="35"/>
      <c r="E81" s="35"/>
      <c r="F81" s="35"/>
      <c r="G81" s="35"/>
      <c r="H81" s="35"/>
      <c r="I81" s="35"/>
      <c r="J81" s="35"/>
      <c r="K81" s="31"/>
      <c r="L81" s="3"/>
      <c r="M81" s="26"/>
      <c r="N81" s="3"/>
    </row>
    <row r="82" spans="1:22" s="32" customFormat="1" ht="18" customHeight="1">
      <c r="A82" s="3"/>
      <c r="B82" s="26"/>
      <c r="C82" s="26"/>
      <c r="D82" s="35"/>
      <c r="E82" s="35"/>
      <c r="F82" s="35"/>
      <c r="G82" s="35"/>
      <c r="H82" s="35"/>
      <c r="I82" s="35"/>
      <c r="J82" s="35"/>
      <c r="K82" s="31"/>
      <c r="L82" s="3"/>
      <c r="M82" s="26"/>
      <c r="N82" s="3"/>
    </row>
    <row r="83" spans="1:22" s="32" customFormat="1" ht="18" customHeight="1">
      <c r="A83" s="3"/>
      <c r="B83" s="26"/>
      <c r="C83" s="26"/>
      <c r="D83" s="34"/>
      <c r="E83" s="34"/>
      <c r="F83" s="34"/>
      <c r="G83" s="34"/>
      <c r="H83" s="34"/>
      <c r="I83" s="34"/>
      <c r="J83" s="34"/>
      <c r="K83" s="31"/>
      <c r="L83" s="3"/>
      <c r="M83" s="26"/>
      <c r="N83" s="3"/>
    </row>
    <row r="84" spans="1:22" s="32" customFormat="1" ht="18" customHeight="1">
      <c r="A84" s="3"/>
      <c r="B84" s="26"/>
      <c r="C84" s="26"/>
      <c r="D84" s="34"/>
      <c r="E84" s="34"/>
      <c r="F84" s="34"/>
      <c r="G84" s="34"/>
      <c r="H84" s="34"/>
      <c r="I84" s="34"/>
      <c r="J84" s="34"/>
      <c r="K84" s="31"/>
      <c r="L84" s="3"/>
      <c r="M84" s="26"/>
      <c r="N84" s="3"/>
    </row>
    <row r="85" spans="1:22" s="32" customFormat="1" ht="18" customHeight="1">
      <c r="A85" s="3"/>
      <c r="B85" s="26"/>
      <c r="C85" s="26"/>
      <c r="D85" s="35"/>
      <c r="E85" s="35"/>
      <c r="F85" s="35"/>
      <c r="G85" s="35"/>
      <c r="H85" s="35"/>
      <c r="I85" s="35"/>
      <c r="J85" s="35"/>
      <c r="K85" s="31"/>
      <c r="L85" s="3"/>
      <c r="M85" s="26"/>
      <c r="N85" s="3"/>
    </row>
    <row r="86" spans="1:22" s="32" customFormat="1" ht="18" customHeight="1">
      <c r="A86" s="3"/>
      <c r="B86" s="26"/>
      <c r="C86" s="26"/>
      <c r="D86" s="35"/>
      <c r="E86" s="35"/>
      <c r="F86" s="35"/>
      <c r="G86" s="35"/>
      <c r="H86" s="35"/>
      <c r="I86" s="35"/>
      <c r="J86" s="35"/>
      <c r="K86" s="31"/>
      <c r="L86" s="3"/>
      <c r="M86" s="26"/>
      <c r="N86" s="3"/>
    </row>
    <row r="87" spans="1:22" ht="12.95" customHeight="1">
      <c r="D87" s="40"/>
      <c r="E87" s="40"/>
      <c r="F87" s="40"/>
      <c r="G87" s="40"/>
      <c r="H87" s="40"/>
      <c r="I87" s="40"/>
      <c r="J87" s="40"/>
      <c r="K87" s="17"/>
      <c r="O87" s="32"/>
      <c r="P87" s="32"/>
      <c r="Q87" s="32"/>
      <c r="R87" s="32"/>
      <c r="S87" s="32"/>
      <c r="T87" s="32"/>
      <c r="U87" s="32"/>
      <c r="V87" s="32"/>
    </row>
    <row r="88" spans="1:22" s="32" customFormat="1" ht="12.95" customHeight="1">
      <c r="A88" s="3"/>
      <c r="B88" s="26"/>
      <c r="C88" s="26"/>
      <c r="D88" s="38"/>
      <c r="E88" s="38"/>
      <c r="F88" s="38"/>
      <c r="G88" s="38"/>
      <c r="H88" s="38"/>
      <c r="I88" s="38"/>
      <c r="J88" s="38"/>
      <c r="L88" s="3"/>
      <c r="M88" s="26"/>
      <c r="N88" s="3"/>
      <c r="O88" s="3"/>
      <c r="P88" s="3"/>
      <c r="Q88" s="3"/>
      <c r="R88" s="3"/>
      <c r="S88" s="3"/>
      <c r="T88" s="3"/>
      <c r="U88" s="3"/>
      <c r="V88" s="3"/>
    </row>
    <row r="89" spans="1:22" ht="18" customHeight="1">
      <c r="D89" s="39"/>
      <c r="E89" s="39"/>
      <c r="F89" s="39"/>
      <c r="G89" s="39"/>
      <c r="H89" s="39"/>
      <c r="I89" s="39"/>
      <c r="J89" s="39"/>
      <c r="K89" s="26"/>
      <c r="O89" s="32"/>
      <c r="P89" s="32"/>
      <c r="Q89" s="32"/>
      <c r="R89" s="32"/>
      <c r="S89" s="32"/>
      <c r="T89" s="32"/>
      <c r="U89" s="32"/>
      <c r="V89" s="32"/>
    </row>
    <row r="90" spans="1:22" s="32" customFormat="1" ht="15.75">
      <c r="A90" s="3"/>
      <c r="B90" s="26"/>
      <c r="C90" s="26"/>
      <c r="D90" s="26"/>
      <c r="E90" s="26"/>
      <c r="F90" s="26"/>
      <c r="G90" s="26"/>
      <c r="H90" s="26"/>
      <c r="I90" s="26"/>
      <c r="J90" s="26"/>
      <c r="L90" s="3"/>
      <c r="M90" s="26"/>
      <c r="N90" s="3"/>
      <c r="O90" s="3"/>
      <c r="P90" s="3"/>
      <c r="Q90" s="3"/>
      <c r="R90" s="3"/>
      <c r="S90" s="3"/>
      <c r="T90" s="3"/>
      <c r="U90" s="3"/>
      <c r="V90" s="3"/>
    </row>
    <row r="91" spans="1:22" s="32" customFormat="1" ht="15.75">
      <c r="A91" s="3"/>
      <c r="B91" s="26"/>
      <c r="C91" s="26"/>
      <c r="D91" s="39"/>
      <c r="E91" s="39"/>
      <c r="F91" s="39"/>
      <c r="G91" s="39"/>
      <c r="H91" s="39"/>
      <c r="I91" s="39"/>
      <c r="J91" s="39"/>
      <c r="L91" s="3"/>
      <c r="M91" s="26"/>
      <c r="N91" s="3"/>
    </row>
    <row r="92" spans="1:22" s="32" customFormat="1" ht="15.75">
      <c r="A92" s="3"/>
      <c r="B92" s="26"/>
      <c r="C92" s="26"/>
      <c r="D92" s="39"/>
      <c r="E92" s="39"/>
      <c r="F92" s="39"/>
      <c r="G92" s="39"/>
      <c r="H92" s="39"/>
      <c r="I92" s="39"/>
      <c r="J92" s="39"/>
      <c r="L92" s="3"/>
      <c r="M92" s="26"/>
      <c r="N92" s="3"/>
    </row>
    <row r="93" spans="1:22" s="32" customFormat="1" ht="15.75">
      <c r="A93" s="3"/>
      <c r="B93" s="26"/>
      <c r="C93" s="26"/>
      <c r="D93" s="39"/>
      <c r="E93" s="39"/>
      <c r="F93" s="39"/>
      <c r="G93" s="39"/>
      <c r="H93" s="39"/>
      <c r="I93" s="39"/>
      <c r="J93" s="39"/>
      <c r="L93" s="3"/>
      <c r="M93" s="26"/>
      <c r="N93" s="3"/>
    </row>
    <row r="94" spans="1:22" s="32" customFormat="1" ht="15.75">
      <c r="A94" s="3"/>
      <c r="B94" s="26"/>
      <c r="C94" s="26"/>
      <c r="D94" s="39"/>
      <c r="E94" s="39"/>
      <c r="F94" s="39"/>
      <c r="G94" s="39"/>
      <c r="H94" s="39"/>
      <c r="I94" s="39"/>
      <c r="J94" s="39"/>
      <c r="L94" s="3"/>
      <c r="M94" s="26"/>
      <c r="N94" s="3"/>
    </row>
    <row r="95" spans="1:22" s="32" customFormat="1" ht="15.75">
      <c r="A95" s="3"/>
      <c r="B95" s="26"/>
      <c r="C95" s="26"/>
      <c r="D95" s="39"/>
      <c r="E95" s="39"/>
      <c r="F95" s="39"/>
      <c r="G95" s="39"/>
      <c r="H95" s="39"/>
      <c r="I95" s="39"/>
      <c r="J95" s="39"/>
      <c r="L95" s="3"/>
      <c r="M95" s="26"/>
      <c r="N95" s="3"/>
    </row>
    <row r="96" spans="1:22" s="32" customFormat="1" ht="15.75">
      <c r="A96" s="3"/>
      <c r="B96" s="26"/>
      <c r="C96" s="26"/>
      <c r="D96" s="39"/>
      <c r="E96" s="39"/>
      <c r="F96" s="39"/>
      <c r="G96" s="39"/>
      <c r="H96" s="39"/>
      <c r="I96" s="39"/>
      <c r="J96" s="39"/>
      <c r="L96" s="3"/>
      <c r="M96" s="26"/>
      <c r="N96" s="3"/>
    </row>
    <row r="97" spans="4:22" ht="15.75">
      <c r="D97" s="39"/>
      <c r="E97" s="39"/>
      <c r="F97" s="39"/>
      <c r="G97" s="39"/>
      <c r="H97" s="39"/>
      <c r="I97" s="39"/>
      <c r="J97" s="39"/>
      <c r="O97" s="32"/>
      <c r="P97" s="32"/>
      <c r="Q97" s="32"/>
      <c r="R97" s="32"/>
      <c r="S97" s="32"/>
      <c r="T97" s="32"/>
      <c r="U97" s="32"/>
      <c r="V97" s="32"/>
    </row>
  </sheetData>
  <mergeCells count="1">
    <mergeCell ref="M5:N5"/>
  </mergeCells>
  <phoneticPr fontId="1" type="noConversion"/>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90"/>
  <sheetViews>
    <sheetView zoomScale="75" workbookViewId="0"/>
  </sheetViews>
  <sheetFormatPr baseColWidth="10" defaultColWidth="11.42578125" defaultRowHeight="12.75"/>
  <cols>
    <col min="1" max="1" width="87.7109375" style="3" customWidth="1"/>
    <col min="2" max="2" width="19.7109375" style="26" customWidth="1"/>
    <col min="3" max="3" width="10.7109375" style="17" hidden="1" customWidth="1"/>
    <col min="4" max="4" width="15.140625" style="17" hidden="1" customWidth="1"/>
    <col min="5" max="5" width="13.7109375" style="17" hidden="1" customWidth="1"/>
    <col min="6" max="6" width="18.5703125" style="17" hidden="1" customWidth="1"/>
    <col min="7" max="7" width="12.85546875" style="17" hidden="1" customWidth="1"/>
    <col min="8" max="8" width="24.7109375" style="17" hidden="1" customWidth="1"/>
    <col min="9" max="9" width="33.42578125" style="17" hidden="1" customWidth="1"/>
    <col min="10" max="10" width="3.42578125" style="3" customWidth="1"/>
    <col min="11" max="11" width="17.85546875" style="3" customWidth="1"/>
    <col min="12" max="12" width="11.42578125" style="3"/>
    <col min="13" max="13" width="14.5703125" style="3" customWidth="1"/>
    <col min="14" max="14" width="18.7109375" style="3" customWidth="1"/>
    <col min="15" max="16384" width="11.42578125" style="3"/>
  </cols>
  <sheetData>
    <row r="1" spans="1:85" customFormat="1" ht="60" customHeight="1">
      <c r="A1" s="5"/>
      <c r="B1" s="6"/>
      <c r="C1" s="15"/>
      <c r="D1" s="15"/>
      <c r="E1" s="15"/>
      <c r="F1" s="15"/>
      <c r="G1" s="15"/>
      <c r="H1" s="15"/>
      <c r="I1" s="15"/>
      <c r="J1" s="6"/>
      <c r="K1" s="6"/>
      <c r="L1" s="6"/>
      <c r="M1" s="7" t="s">
        <v>11</v>
      </c>
      <c r="N1" s="8">
        <f>Balance!N1</f>
        <v>2016</v>
      </c>
      <c r="O1" s="45"/>
      <c r="P1" s="45"/>
      <c r="Q1" s="45"/>
      <c r="R1" s="45"/>
      <c r="S1" s="45"/>
      <c r="T1" s="45"/>
      <c r="U1" s="45"/>
      <c r="V1" s="45"/>
      <c r="W1" s="45"/>
      <c r="X1" s="45"/>
      <c r="Y1" s="45"/>
      <c r="Z1" s="45"/>
      <c r="AA1" s="45"/>
      <c r="AB1" s="45"/>
      <c r="AC1" s="45"/>
      <c r="AD1" s="45"/>
      <c r="AE1" s="45"/>
      <c r="AF1" s="45"/>
      <c r="AG1" s="45"/>
      <c r="AH1" s="45"/>
      <c r="AI1" s="45"/>
      <c r="AJ1" s="46"/>
      <c r="AK1" s="46"/>
      <c r="AL1" s="46"/>
      <c r="AM1" s="46"/>
      <c r="AN1" s="46"/>
      <c r="AO1" s="46"/>
      <c r="AP1" s="46"/>
      <c r="AQ1" s="46"/>
      <c r="AR1" s="46"/>
      <c r="AS1" s="46"/>
      <c r="AT1" s="46"/>
      <c r="AU1" s="46"/>
      <c r="AV1" s="46"/>
      <c r="AW1" s="46"/>
      <c r="AX1" s="46"/>
      <c r="AY1" s="46"/>
      <c r="AZ1" s="46"/>
      <c r="BA1" s="46"/>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row>
    <row r="2" spans="1:85" customFormat="1" ht="12.95" customHeight="1" thickBot="1">
      <c r="A2" s="5"/>
      <c r="B2" s="6"/>
      <c r="C2" s="15"/>
      <c r="D2" s="15"/>
      <c r="E2" s="15"/>
      <c r="F2" s="15"/>
      <c r="G2" s="15"/>
      <c r="H2" s="15"/>
      <c r="I2" s="15"/>
      <c r="J2" s="6"/>
      <c r="K2" s="6"/>
      <c r="L2" s="6"/>
      <c r="M2" s="9"/>
      <c r="N2" s="9"/>
      <c r="O2" s="45"/>
      <c r="P2" s="45"/>
      <c r="Q2" s="45"/>
      <c r="R2" s="45"/>
      <c r="S2" s="45"/>
      <c r="T2" s="45"/>
      <c r="U2" s="45"/>
      <c r="V2" s="45"/>
      <c r="W2" s="45"/>
      <c r="X2" s="45"/>
      <c r="Y2" s="45"/>
      <c r="Z2" s="45"/>
      <c r="AA2" s="45"/>
      <c r="AB2" s="45"/>
      <c r="AC2" s="45"/>
      <c r="AD2" s="45"/>
      <c r="AE2" s="45"/>
      <c r="AF2" s="45"/>
      <c r="AG2" s="45"/>
      <c r="AH2" s="45"/>
      <c r="AI2" s="45"/>
      <c r="AJ2" s="46"/>
      <c r="AK2" s="46"/>
      <c r="AL2" s="46"/>
      <c r="AM2" s="46"/>
      <c r="AN2" s="46"/>
      <c r="AO2" s="46"/>
      <c r="AP2" s="46"/>
      <c r="AQ2" s="46"/>
      <c r="AR2" s="46"/>
      <c r="AS2" s="46"/>
      <c r="AT2" s="46"/>
      <c r="AU2" s="46"/>
      <c r="AV2" s="46"/>
      <c r="AW2" s="46"/>
      <c r="AX2" s="46"/>
      <c r="AY2" s="46"/>
      <c r="AZ2" s="46"/>
      <c r="BA2" s="46"/>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85" customFormat="1" ht="33" customHeight="1">
      <c r="A3" s="70" t="str">
        <f>"                                            "&amp;"LES CORTS Y RESTO DE INSTITUCIONES DE LA GENERALITAT"</f>
        <v xml:space="preserve">                                            LES CORTS Y RESTO DE INSTITUCIONES DE LA GENERALITAT</v>
      </c>
      <c r="B3" s="10"/>
      <c r="C3" s="15"/>
      <c r="D3" s="15"/>
      <c r="E3" s="15"/>
      <c r="F3" s="15"/>
      <c r="G3" s="15"/>
      <c r="H3" s="15"/>
      <c r="I3" s="15"/>
      <c r="J3" s="10"/>
      <c r="K3" s="11"/>
      <c r="L3" s="11"/>
      <c r="M3" s="12"/>
      <c r="N3" s="13"/>
      <c r="O3" s="45"/>
      <c r="P3" s="45"/>
      <c r="Q3" s="45"/>
      <c r="R3" s="45"/>
      <c r="S3" s="45"/>
      <c r="T3" s="45"/>
      <c r="U3" s="45"/>
      <c r="V3" s="45"/>
      <c r="W3" s="45"/>
      <c r="X3" s="45"/>
      <c r="Y3" s="45"/>
      <c r="Z3" s="45"/>
      <c r="AA3" s="45"/>
      <c r="AB3" s="45"/>
      <c r="AC3" s="45"/>
      <c r="AD3" s="45"/>
      <c r="AE3" s="45"/>
      <c r="AF3" s="45"/>
      <c r="AG3" s="45"/>
      <c r="AH3" s="45"/>
      <c r="AI3" s="45"/>
      <c r="AJ3" s="47"/>
      <c r="AK3" s="47"/>
      <c r="AL3" s="47"/>
      <c r="AM3" s="47"/>
      <c r="AN3" s="47"/>
      <c r="AO3" s="47"/>
      <c r="AP3" s="47"/>
      <c r="AQ3" s="47"/>
      <c r="AR3" s="47"/>
      <c r="AS3" s="47"/>
      <c r="AT3" s="47"/>
      <c r="AU3" s="47"/>
      <c r="AV3" s="47"/>
      <c r="AW3" s="47"/>
      <c r="AX3" s="47"/>
      <c r="AY3" s="47"/>
      <c r="AZ3" s="47"/>
      <c r="BA3" s="47"/>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customFormat="1" ht="20.100000000000001" customHeight="1">
      <c r="A4" s="14" t="s">
        <v>35</v>
      </c>
      <c r="B4" s="15"/>
      <c r="C4" s="15"/>
      <c r="D4" s="15"/>
      <c r="E4" s="15"/>
      <c r="F4" s="15"/>
      <c r="G4" s="15"/>
      <c r="H4" s="15"/>
      <c r="I4" s="15"/>
      <c r="J4" s="15"/>
      <c r="K4" s="14"/>
      <c r="L4" s="14"/>
      <c r="M4" s="16"/>
      <c r="N4" s="17"/>
      <c r="O4" s="45"/>
      <c r="P4" s="45"/>
      <c r="Q4" s="45"/>
      <c r="R4" s="45"/>
      <c r="S4" s="45"/>
      <c r="T4" s="45"/>
      <c r="U4" s="45"/>
      <c r="V4" s="45"/>
      <c r="W4" s="45"/>
      <c r="X4" s="45"/>
      <c r="Y4" s="45"/>
      <c r="Z4" s="45"/>
      <c r="AA4" s="45"/>
      <c r="AB4" s="45"/>
      <c r="AC4" s="45"/>
      <c r="AD4" s="45"/>
      <c r="AE4" s="45"/>
      <c r="AF4" s="45"/>
      <c r="AG4" s="45"/>
      <c r="AH4" s="45"/>
      <c r="AI4" s="45"/>
      <c r="AJ4" s="47"/>
      <c r="AK4" s="47"/>
      <c r="AL4" s="47"/>
      <c r="AM4" s="47"/>
      <c r="AN4" s="47"/>
      <c r="AO4" s="47"/>
      <c r="AP4" s="47"/>
      <c r="AQ4" s="47"/>
      <c r="AR4" s="47"/>
      <c r="AS4" s="47"/>
      <c r="AT4" s="47"/>
      <c r="AU4" s="47"/>
      <c r="AV4" s="47"/>
      <c r="AW4" s="47"/>
      <c r="AX4" s="47"/>
      <c r="AY4" s="47"/>
      <c r="AZ4" s="47"/>
      <c r="BA4" s="47"/>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customFormat="1" ht="18" customHeight="1" thickBot="1">
      <c r="A5" s="18"/>
      <c r="B5" s="19"/>
      <c r="C5" s="21"/>
      <c r="D5" s="21"/>
      <c r="E5" s="21"/>
      <c r="F5" s="21"/>
      <c r="G5" s="21"/>
      <c r="H5" s="21"/>
      <c r="I5" s="21"/>
      <c r="J5" s="19"/>
      <c r="K5" s="19"/>
      <c r="L5" s="19"/>
      <c r="M5" s="71" t="str">
        <f>"Población a 01/01/"&amp;N1</f>
        <v>Población a 01/01/2016</v>
      </c>
      <c r="N5" s="73">
        <f>Balance!M5</f>
        <v>4959968</v>
      </c>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row>
    <row r="6" spans="1:85" customFormat="1" ht="15" customHeight="1">
      <c r="A6" s="20"/>
      <c r="B6" s="21"/>
      <c r="C6" s="21"/>
      <c r="D6" s="21"/>
      <c r="E6" s="21"/>
      <c r="F6" s="21"/>
      <c r="G6" s="21"/>
      <c r="H6" s="21"/>
      <c r="I6" s="21"/>
      <c r="J6" s="21"/>
      <c r="K6" s="21"/>
      <c r="L6" s="22"/>
      <c r="M6" s="16"/>
      <c r="N6" s="16"/>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row>
    <row r="7" spans="1:85" customFormat="1" ht="12.95" customHeight="1">
      <c r="A7" s="20"/>
      <c r="B7" s="21"/>
      <c r="C7" s="21"/>
      <c r="D7" s="21"/>
      <c r="E7" s="21"/>
      <c r="F7" s="21"/>
      <c r="G7" s="21"/>
      <c r="H7" s="21"/>
      <c r="I7" s="21"/>
      <c r="J7" s="21"/>
      <c r="K7" s="21"/>
      <c r="L7" s="21"/>
      <c r="M7" s="21"/>
      <c r="N7" s="21"/>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row>
    <row r="8" spans="1:85" customFormat="1" ht="21" customHeight="1">
      <c r="A8" s="23" t="s">
        <v>149</v>
      </c>
      <c r="B8" s="21"/>
      <c r="C8" s="21"/>
      <c r="D8" s="21"/>
      <c r="E8" s="21"/>
      <c r="F8" s="21"/>
      <c r="G8" s="21"/>
      <c r="H8" s="21"/>
      <c r="I8" s="21"/>
      <c r="J8" s="21"/>
      <c r="K8" s="23" t="s">
        <v>462</v>
      </c>
      <c r="L8" s="21"/>
      <c r="M8" s="21"/>
      <c r="N8" s="21"/>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row>
    <row r="9" spans="1:85" customFormat="1" ht="18" customHeight="1">
      <c r="A9" s="24"/>
      <c r="B9" s="21"/>
      <c r="C9" s="41">
        <v>11200</v>
      </c>
      <c r="D9" s="41">
        <v>11201</v>
      </c>
      <c r="E9" s="41">
        <v>11202</v>
      </c>
      <c r="F9" s="41">
        <v>11203</v>
      </c>
      <c r="G9" s="41">
        <v>11204</v>
      </c>
      <c r="H9" s="41">
        <v>11205</v>
      </c>
      <c r="I9" s="41">
        <v>11206</v>
      </c>
      <c r="J9" s="21"/>
      <c r="K9" s="23" t="s">
        <v>463</v>
      </c>
      <c r="L9" s="21"/>
      <c r="M9" s="21"/>
      <c r="N9" s="21"/>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row>
    <row r="10" spans="1:85" customFormat="1" ht="12.95" customHeight="1">
      <c r="A10" s="23"/>
      <c r="B10" s="21"/>
      <c r="C10" s="41" t="s">
        <v>10</v>
      </c>
      <c r="D10" s="41" t="s">
        <v>10</v>
      </c>
      <c r="E10" s="41" t="s">
        <v>10</v>
      </c>
      <c r="F10" s="41" t="s">
        <v>10</v>
      </c>
      <c r="G10" s="41" t="s">
        <v>10</v>
      </c>
      <c r="H10" s="41" t="s">
        <v>10</v>
      </c>
      <c r="I10" s="41" t="s">
        <v>10</v>
      </c>
      <c r="J10" s="21"/>
      <c r="K10" s="21"/>
      <c r="L10" s="21"/>
      <c r="M10" s="21"/>
      <c r="N10" s="21"/>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row>
    <row r="11" spans="1:85" ht="18" customHeight="1" thickBot="1">
      <c r="A11" s="25" t="s">
        <v>12</v>
      </c>
      <c r="B11" s="17"/>
      <c r="C11" s="41" t="s">
        <v>0</v>
      </c>
      <c r="D11" s="41" t="s">
        <v>1</v>
      </c>
      <c r="E11" s="41" t="s">
        <v>2</v>
      </c>
      <c r="F11" s="41" t="s">
        <v>3</v>
      </c>
      <c r="G11" s="41" t="s">
        <v>484</v>
      </c>
      <c r="H11" s="41" t="s">
        <v>4</v>
      </c>
      <c r="I11" s="41" t="s">
        <v>5</v>
      </c>
      <c r="J11" s="17"/>
      <c r="K11" s="21"/>
      <c r="L11" s="17"/>
      <c r="N11" s="52"/>
    </row>
    <row r="12" spans="1:85" ht="33" customHeight="1">
      <c r="A12" s="53" t="s">
        <v>16</v>
      </c>
      <c r="B12" s="28">
        <f>N1</f>
        <v>2016</v>
      </c>
      <c r="C12" s="41"/>
      <c r="D12" s="41"/>
      <c r="E12" s="41"/>
      <c r="F12" s="41"/>
      <c r="G12" s="41"/>
      <c r="H12" s="41"/>
      <c r="I12" s="41"/>
      <c r="J12" s="17"/>
      <c r="K12" s="203" t="s">
        <v>462</v>
      </c>
      <c r="L12" s="203"/>
      <c r="M12" s="54"/>
      <c r="N12" s="28">
        <f>N1</f>
        <v>2016</v>
      </c>
    </row>
    <row r="13" spans="1:85" ht="18" customHeight="1">
      <c r="A13" s="55" t="s">
        <v>18</v>
      </c>
      <c r="B13" s="56"/>
      <c r="C13" s="41"/>
      <c r="D13" s="41"/>
      <c r="E13" s="41"/>
      <c r="F13" s="41"/>
      <c r="G13" s="41"/>
      <c r="H13" s="41"/>
      <c r="I13" s="41"/>
      <c r="J13" s="17"/>
      <c r="K13" s="57" t="s">
        <v>19</v>
      </c>
      <c r="L13" s="58"/>
      <c r="M13" s="59"/>
      <c r="N13" s="58"/>
    </row>
    <row r="14" spans="1:85" s="32" customFormat="1" ht="18" customHeight="1">
      <c r="A14" s="31" t="s">
        <v>51</v>
      </c>
      <c r="B14" s="36">
        <f t="shared" ref="B14:B45" si="0">SUM(C14:I14)</f>
        <v>312</v>
      </c>
      <c r="C14" s="42">
        <f>'[1]2100'!$L5</f>
        <v>0</v>
      </c>
      <c r="D14" s="42">
        <f>'[2]2100'!$L5</f>
        <v>0</v>
      </c>
      <c r="E14" s="42">
        <f>'[3]2100'!$L5</f>
        <v>0</v>
      </c>
      <c r="F14" s="42">
        <f>'[4]2100'!$L5</f>
        <v>0</v>
      </c>
      <c r="G14" s="42">
        <f>'[5]2100'!$L5</f>
        <v>0</v>
      </c>
      <c r="H14" s="42">
        <f>'[6]2100'!$L5</f>
        <v>312</v>
      </c>
      <c r="I14" s="42">
        <f>'[7]2100'!$L5</f>
        <v>0</v>
      </c>
      <c r="J14" s="31"/>
      <c r="K14" s="31"/>
      <c r="L14" s="17"/>
      <c r="M14" s="61"/>
      <c r="N14" s="17"/>
    </row>
    <row r="15" spans="1:85" s="32" customFormat="1" ht="18" customHeight="1">
      <c r="A15" s="62" t="s">
        <v>150</v>
      </c>
      <c r="B15" s="36">
        <f t="shared" si="0"/>
        <v>0</v>
      </c>
      <c r="C15" s="42">
        <f>'[1]2100'!$L6</f>
        <v>0</v>
      </c>
      <c r="D15" s="42">
        <f>'[2]2100'!$L6</f>
        <v>0</v>
      </c>
      <c r="E15" s="42">
        <f>'[3]2100'!$L6</f>
        <v>0</v>
      </c>
      <c r="F15" s="42">
        <f>'[4]2100'!$L6</f>
        <v>0</v>
      </c>
      <c r="G15" s="42">
        <f>'[5]2100'!$L6</f>
        <v>0</v>
      </c>
      <c r="H15" s="42">
        <f>'[6]2100'!$L6</f>
        <v>0</v>
      </c>
      <c r="I15" s="42">
        <f>'[7]2100'!$L6</f>
        <v>0</v>
      </c>
      <c r="J15" s="31"/>
      <c r="K15" s="31" t="s">
        <v>20</v>
      </c>
      <c r="N15" s="63">
        <f>IF(Balance!M41=0,"--",Balance!B61/Balance!M41)</f>
        <v>1.7832379485404977</v>
      </c>
    </row>
    <row r="16" spans="1:85" s="32" customFormat="1" ht="18" customHeight="1">
      <c r="A16" s="62" t="s">
        <v>151</v>
      </c>
      <c r="B16" s="36">
        <f t="shared" si="0"/>
        <v>0</v>
      </c>
      <c r="C16" s="42">
        <f>'[1]2100'!$L7</f>
        <v>0</v>
      </c>
      <c r="D16" s="42">
        <f>'[2]2100'!$L7</f>
        <v>0</v>
      </c>
      <c r="E16" s="42">
        <f>'[3]2100'!$L7</f>
        <v>0</v>
      </c>
      <c r="F16" s="42">
        <f>'[4]2100'!$L7</f>
        <v>0</v>
      </c>
      <c r="G16" s="42">
        <f>'[5]2100'!$L7</f>
        <v>0</v>
      </c>
      <c r="H16" s="42">
        <f>'[6]2100'!$L7</f>
        <v>0</v>
      </c>
      <c r="I16" s="42">
        <f>'[7]2100'!$L7</f>
        <v>0</v>
      </c>
      <c r="J16" s="31"/>
      <c r="K16" s="31" t="s">
        <v>21</v>
      </c>
      <c r="N16" s="63">
        <f>(Memoria!C45+Memoria!C58)/Balance!M41</f>
        <v>3.7475045093830581</v>
      </c>
    </row>
    <row r="17" spans="1:14" s="32" customFormat="1" ht="18" customHeight="1">
      <c r="A17" s="62" t="s">
        <v>152</v>
      </c>
      <c r="B17" s="36">
        <f t="shared" si="0"/>
        <v>0</v>
      </c>
      <c r="C17" s="42">
        <f>'[1]2100'!$L8</f>
        <v>0</v>
      </c>
      <c r="D17" s="42">
        <f>'[2]2100'!$L8</f>
        <v>0</v>
      </c>
      <c r="E17" s="42">
        <f>'[3]2100'!$L8</f>
        <v>0</v>
      </c>
      <c r="F17" s="42">
        <f>'[4]2100'!$L8</f>
        <v>0</v>
      </c>
      <c r="G17" s="42">
        <f>'[5]2100'!$L8</f>
        <v>0</v>
      </c>
      <c r="H17" s="42">
        <f>'[6]2100'!$L8</f>
        <v>0</v>
      </c>
      <c r="I17" s="42">
        <f>'[7]2100'!$L8</f>
        <v>0</v>
      </c>
      <c r="J17" s="31"/>
      <c r="K17" s="31" t="s">
        <v>22</v>
      </c>
      <c r="N17" s="63">
        <f>IF(Balance!M41=0,"--",Balance!B41/Balance!M41)</f>
        <v>3.7719398676647522</v>
      </c>
    </row>
    <row r="18" spans="1:14" s="32" customFormat="1" ht="18" customHeight="1">
      <c r="A18" s="62" t="s">
        <v>153</v>
      </c>
      <c r="B18" s="36">
        <f t="shared" si="0"/>
        <v>0</v>
      </c>
      <c r="C18" s="42">
        <f>'[1]2100'!$L9</f>
        <v>0</v>
      </c>
      <c r="D18" s="42">
        <f>'[2]2100'!$L9</f>
        <v>0</v>
      </c>
      <c r="E18" s="42">
        <f>'[3]2100'!$L9</f>
        <v>0</v>
      </c>
      <c r="F18" s="42">
        <f>'[4]2100'!$L9</f>
        <v>0</v>
      </c>
      <c r="G18" s="42">
        <f>'[5]2100'!$L9</f>
        <v>0</v>
      </c>
      <c r="H18" s="42">
        <f>'[6]2100'!$L9</f>
        <v>0</v>
      </c>
      <c r="I18" s="42">
        <f>'[7]2100'!$L9</f>
        <v>0</v>
      </c>
      <c r="J18" s="31"/>
      <c r="K18" s="31" t="s">
        <v>23</v>
      </c>
      <c r="N18" s="64">
        <f>Balance!B41-Balance!M41</f>
        <v>11208728.949999999</v>
      </c>
    </row>
    <row r="19" spans="1:14" s="32" customFormat="1" ht="18" customHeight="1">
      <c r="A19" s="62" t="s">
        <v>154</v>
      </c>
      <c r="B19" s="36">
        <f t="shared" si="0"/>
        <v>0</v>
      </c>
      <c r="C19" s="42">
        <f>'[1]2100'!$L10</f>
        <v>0</v>
      </c>
      <c r="D19" s="42">
        <f>'[2]2100'!$L10</f>
        <v>0</v>
      </c>
      <c r="E19" s="42">
        <f>'[3]2100'!$L10</f>
        <v>0</v>
      </c>
      <c r="F19" s="42">
        <f>'[4]2100'!$L10</f>
        <v>0</v>
      </c>
      <c r="G19" s="42">
        <f>'[5]2100'!$L10</f>
        <v>0</v>
      </c>
      <c r="H19" s="42">
        <f>'[6]2100'!$L10</f>
        <v>0</v>
      </c>
      <c r="I19" s="42">
        <f>'[7]2100'!$L10</f>
        <v>0</v>
      </c>
      <c r="J19" s="31"/>
      <c r="K19" s="31" t="s">
        <v>24</v>
      </c>
      <c r="N19" s="65" t="str">
        <f>INT(Balance!B49/(B42+B61+B72+B73)*365)&amp;"  días"</f>
        <v>65  días</v>
      </c>
    </row>
    <row r="20" spans="1:14" s="32" customFormat="1" ht="18" customHeight="1">
      <c r="A20" s="62" t="s">
        <v>421</v>
      </c>
      <c r="B20" s="36">
        <f t="shared" si="0"/>
        <v>0</v>
      </c>
      <c r="C20" s="42">
        <f>'[1]2100'!$L11</f>
        <v>0</v>
      </c>
      <c r="D20" s="42">
        <f>'[2]2100'!$L11</f>
        <v>0</v>
      </c>
      <c r="E20" s="42">
        <f>'[3]2100'!$L11</f>
        <v>0</v>
      </c>
      <c r="F20" s="42">
        <f>'[4]2100'!$L11</f>
        <v>0</v>
      </c>
      <c r="G20" s="42">
        <f>'[5]2100'!$L11</f>
        <v>0</v>
      </c>
      <c r="H20" s="42">
        <f>'[6]2100'!$L11</f>
        <v>0</v>
      </c>
      <c r="I20" s="42">
        <f>'[7]2100'!$L11</f>
        <v>0</v>
      </c>
      <c r="J20" s="31"/>
      <c r="K20" s="31" t="s">
        <v>25</v>
      </c>
      <c r="N20" s="65" t="str">
        <f>INT(Balance!M50/-(Cuenta!B59+Cuenta!B66+Cuenta!B74+Cuenta!B75)*365)&amp;"  días"</f>
        <v>22  días</v>
      </c>
    </row>
    <row r="21" spans="1:14" s="32" customFormat="1" ht="18" customHeight="1">
      <c r="A21" s="62" t="s">
        <v>155</v>
      </c>
      <c r="B21" s="36">
        <f t="shared" si="0"/>
        <v>0</v>
      </c>
      <c r="C21" s="42">
        <f>'[1]2100'!$L12</f>
        <v>0</v>
      </c>
      <c r="D21" s="42">
        <f>'[2]2100'!$L12</f>
        <v>0</v>
      </c>
      <c r="E21" s="42">
        <f>'[3]2100'!$L12</f>
        <v>0</v>
      </c>
      <c r="F21" s="42">
        <f>'[4]2100'!$L12</f>
        <v>0</v>
      </c>
      <c r="G21" s="42">
        <f>'[5]2100'!$L12</f>
        <v>0</v>
      </c>
      <c r="H21" s="42">
        <f>'[6]2100'!$L12</f>
        <v>0</v>
      </c>
      <c r="I21" s="42">
        <f>'[7]2100'!$L12</f>
        <v>0</v>
      </c>
      <c r="J21" s="31"/>
      <c r="K21" s="31" t="s">
        <v>26</v>
      </c>
      <c r="N21" s="65" t="str">
        <f>INT((Balance!M50+Balance!M57)/-(B43+B46+B47+B52+B54)*365)&amp;"  días"</f>
        <v>26  días</v>
      </c>
    </row>
    <row r="22" spans="1:14" s="32" customFormat="1" ht="18" customHeight="1">
      <c r="A22" s="62" t="s">
        <v>156</v>
      </c>
      <c r="B22" s="36">
        <f t="shared" si="0"/>
        <v>0</v>
      </c>
      <c r="C22" s="42">
        <f>'[1]2100'!$L13</f>
        <v>0</v>
      </c>
      <c r="D22" s="42">
        <f>'[2]2100'!$L13</f>
        <v>0</v>
      </c>
      <c r="E22" s="42">
        <f>'[3]2100'!$L13</f>
        <v>0</v>
      </c>
      <c r="F22" s="42">
        <f>'[4]2100'!$L13</f>
        <v>0</v>
      </c>
      <c r="G22" s="42">
        <f>'[5]2100'!$L13</f>
        <v>0</v>
      </c>
      <c r="H22" s="42">
        <f>'[6]2100'!$L13</f>
        <v>0</v>
      </c>
      <c r="I22" s="42">
        <f>'[7]2100'!$L13</f>
        <v>0</v>
      </c>
      <c r="J22" s="31"/>
      <c r="K22" s="31"/>
    </row>
    <row r="23" spans="1:14" s="32" customFormat="1" ht="18" customHeight="1">
      <c r="A23" s="62" t="s">
        <v>157</v>
      </c>
      <c r="B23" s="36">
        <f t="shared" si="0"/>
        <v>0</v>
      </c>
      <c r="C23" s="42">
        <f>'[1]2100'!$L14</f>
        <v>0</v>
      </c>
      <c r="D23" s="42">
        <f>'[2]2100'!$L14</f>
        <v>0</v>
      </c>
      <c r="E23" s="42">
        <f>'[3]2100'!$L14</f>
        <v>0</v>
      </c>
      <c r="F23" s="42">
        <f>'[4]2100'!$L14</f>
        <v>0</v>
      </c>
      <c r="G23" s="42">
        <f>'[5]2100'!$L14</f>
        <v>0</v>
      </c>
      <c r="H23" s="42">
        <f>'[6]2100'!$L14</f>
        <v>0</v>
      </c>
      <c r="I23" s="42">
        <f>'[7]2100'!$L14</f>
        <v>0</v>
      </c>
      <c r="J23" s="31"/>
      <c r="K23" s="57" t="s">
        <v>27</v>
      </c>
      <c r="L23" s="57"/>
      <c r="M23" s="57"/>
      <c r="N23" s="57"/>
    </row>
    <row r="24" spans="1:14" s="32" customFormat="1" ht="18" customHeight="1">
      <c r="A24" s="62" t="s">
        <v>158</v>
      </c>
      <c r="B24" s="36">
        <f t="shared" si="0"/>
        <v>0</v>
      </c>
      <c r="C24" s="42">
        <f>'[1]2100'!$L15</f>
        <v>0</v>
      </c>
      <c r="D24" s="42">
        <f>'[2]2100'!$L15</f>
        <v>0</v>
      </c>
      <c r="E24" s="42">
        <f>'[3]2100'!$L15</f>
        <v>0</v>
      </c>
      <c r="F24" s="42">
        <f>'[4]2100'!$L15</f>
        <v>0</v>
      </c>
      <c r="G24" s="42">
        <f>'[5]2100'!$L15</f>
        <v>0</v>
      </c>
      <c r="H24" s="42">
        <f>'[6]2100'!$L15</f>
        <v>0</v>
      </c>
      <c r="I24" s="42">
        <f>'[7]2100'!$L15</f>
        <v>0</v>
      </c>
      <c r="J24" s="31"/>
      <c r="K24" s="31"/>
      <c r="L24" s="31"/>
      <c r="M24" s="31"/>
      <c r="N24" s="31"/>
    </row>
    <row r="25" spans="1:14" s="32" customFormat="1" ht="18" customHeight="1">
      <c r="A25" s="62" t="s">
        <v>159</v>
      </c>
      <c r="B25" s="36">
        <f t="shared" si="0"/>
        <v>312</v>
      </c>
      <c r="C25" s="42">
        <f>'[1]2100'!$L16</f>
        <v>0</v>
      </c>
      <c r="D25" s="42">
        <f>'[2]2100'!$L16</f>
        <v>0</v>
      </c>
      <c r="E25" s="42">
        <f>'[3]2100'!$L16</f>
        <v>0</v>
      </c>
      <c r="F25" s="42">
        <f>'[4]2100'!$L16</f>
        <v>0</v>
      </c>
      <c r="G25" s="42">
        <f>'[5]2100'!$L16</f>
        <v>0</v>
      </c>
      <c r="H25" s="42">
        <f>'[6]2100'!$L16</f>
        <v>312</v>
      </c>
      <c r="I25" s="42">
        <f>'[7]2100'!$L16</f>
        <v>0</v>
      </c>
      <c r="J25" s="31"/>
      <c r="K25" s="31" t="s">
        <v>28</v>
      </c>
      <c r="N25" s="64">
        <f>(Balance!M28+Balance!M41)/N5</f>
        <v>0.81525540688972176</v>
      </c>
    </row>
    <row r="26" spans="1:14" s="32" customFormat="1" ht="18" customHeight="1">
      <c r="A26" s="62" t="s">
        <v>160</v>
      </c>
      <c r="B26" s="36">
        <f t="shared" si="0"/>
        <v>0</v>
      </c>
      <c r="C26" s="42">
        <f>'[1]2100'!$L17</f>
        <v>0</v>
      </c>
      <c r="D26" s="42">
        <f>'[2]2100'!$L17</f>
        <v>0</v>
      </c>
      <c r="E26" s="42">
        <f>'[3]2100'!$L17</f>
        <v>0</v>
      </c>
      <c r="F26" s="42">
        <f>'[4]2100'!$L17</f>
        <v>0</v>
      </c>
      <c r="G26" s="42">
        <f>'[5]2100'!$L17</f>
        <v>0</v>
      </c>
      <c r="H26" s="42">
        <f>'[6]2100'!$L17</f>
        <v>0</v>
      </c>
      <c r="I26" s="42">
        <f>'[7]2100'!$L17</f>
        <v>0</v>
      </c>
      <c r="J26" s="31"/>
      <c r="K26" s="31" t="s">
        <v>29</v>
      </c>
      <c r="N26" s="63">
        <f>(Balance!M28+Balance!M41)/Balance!M63</f>
        <v>6.2255353089032274E-2</v>
      </c>
    </row>
    <row r="27" spans="1:14" s="32" customFormat="1" ht="18" customHeight="1">
      <c r="A27" s="62" t="s">
        <v>161</v>
      </c>
      <c r="B27" s="36">
        <f t="shared" si="0"/>
        <v>0</v>
      </c>
      <c r="C27" s="42">
        <f>'[1]2100'!$L18</f>
        <v>0</v>
      </c>
      <c r="D27" s="42">
        <f>'[2]2100'!$L18</f>
        <v>0</v>
      </c>
      <c r="E27" s="42">
        <f>'[3]2100'!$L18</f>
        <v>0</v>
      </c>
      <c r="F27" s="42">
        <f>'[4]2100'!$L18</f>
        <v>0</v>
      </c>
      <c r="G27" s="42">
        <f>'[5]2100'!$L18</f>
        <v>0</v>
      </c>
      <c r="H27" s="42">
        <f>'[6]2100'!$L18</f>
        <v>0</v>
      </c>
      <c r="I27" s="42">
        <f>'[7]2100'!$L18</f>
        <v>0</v>
      </c>
      <c r="J27" s="66"/>
      <c r="K27" s="31" t="s">
        <v>30</v>
      </c>
      <c r="N27" s="63" t="str">
        <f>IF(Balance!M28=0,"   --",Balance!M41/Balance!M28)</f>
        <v xml:space="preserve">   --</v>
      </c>
    </row>
    <row r="28" spans="1:14" s="32" customFormat="1" ht="18" customHeight="1">
      <c r="A28" s="62" t="s">
        <v>162</v>
      </c>
      <c r="B28" s="36">
        <f t="shared" si="0"/>
        <v>0</v>
      </c>
      <c r="C28" s="42">
        <f>'[1]2100'!$L19</f>
        <v>0</v>
      </c>
      <c r="D28" s="42">
        <f>'[2]2100'!$L19</f>
        <v>0</v>
      </c>
      <c r="E28" s="42">
        <f>'[3]2100'!$L19</f>
        <v>0</v>
      </c>
      <c r="F28" s="42">
        <f>'[4]2100'!$L19</f>
        <v>0</v>
      </c>
      <c r="G28" s="42">
        <f>'[5]2100'!$L19</f>
        <v>0</v>
      </c>
      <c r="H28" s="42">
        <f>'[6]2100'!$L19</f>
        <v>0</v>
      </c>
      <c r="I28" s="42">
        <f>'[7]2100'!$L19</f>
        <v>0</v>
      </c>
      <c r="J28" s="66"/>
      <c r="K28" s="31" t="s">
        <v>464</v>
      </c>
      <c r="N28" s="63">
        <f>Balance!B13/Balance!M13</f>
        <v>0.81597538757326715</v>
      </c>
    </row>
    <row r="29" spans="1:14" s="32" customFormat="1" ht="18" customHeight="1">
      <c r="A29" s="62" t="s">
        <v>163</v>
      </c>
      <c r="B29" s="36">
        <f t="shared" si="0"/>
        <v>0</v>
      </c>
      <c r="C29" s="42"/>
      <c r="D29" s="42"/>
      <c r="E29" s="42"/>
      <c r="F29" s="42"/>
      <c r="G29" s="42"/>
      <c r="H29" s="42"/>
      <c r="I29" s="42"/>
      <c r="J29" s="66"/>
      <c r="K29" s="32" t="s">
        <v>465</v>
      </c>
      <c r="N29" s="63">
        <f>Balance!B63/(Balance!M41+Balance!M28)</f>
        <v>16.062875726845299</v>
      </c>
    </row>
    <row r="30" spans="1:14" s="32" customFormat="1" ht="18" customHeight="1">
      <c r="A30" s="31" t="s">
        <v>52</v>
      </c>
      <c r="B30" s="36">
        <f t="shared" si="0"/>
        <v>37433956.079999998</v>
      </c>
      <c r="C30" s="42">
        <f t="shared" ref="C30:I30" si="1">SUM(C31:C34)</f>
        <v>28002840</v>
      </c>
      <c r="D30" s="42">
        <f t="shared" si="1"/>
        <v>0</v>
      </c>
      <c r="E30" s="42">
        <f t="shared" si="1"/>
        <v>720936.81</v>
      </c>
      <c r="F30" s="42">
        <f t="shared" si="1"/>
        <v>3146201.11</v>
      </c>
      <c r="G30" s="42">
        <f>SUM(G31:G34)</f>
        <v>793520</v>
      </c>
      <c r="H30" s="42">
        <f t="shared" si="1"/>
        <v>2133997.0699999998</v>
      </c>
      <c r="I30" s="42">
        <f t="shared" si="1"/>
        <v>2636461.09</v>
      </c>
      <c r="J30" s="66"/>
      <c r="K30" s="31" t="s">
        <v>466</v>
      </c>
      <c r="N30" s="63" t="str">
        <f>IF(Balance!M34=0,"   --",Balance!B28/Balance!M34)</f>
        <v xml:space="preserve">   --</v>
      </c>
    </row>
    <row r="31" spans="1:14" s="32" customFormat="1" ht="18" customHeight="1">
      <c r="A31" s="62" t="s">
        <v>53</v>
      </c>
      <c r="B31" s="36">
        <f t="shared" si="0"/>
        <v>31966320.419999998</v>
      </c>
      <c r="C31" s="42">
        <f>('[1]2100'!$L$36)</f>
        <v>27342240</v>
      </c>
      <c r="D31" s="42">
        <f>('[2]2100'!$L$36)</f>
        <v>0</v>
      </c>
      <c r="E31" s="42">
        <f>('[3]2100'!$L$36)</f>
        <v>703289.31</v>
      </c>
      <c r="F31" s="42">
        <f>('[4]2100'!$L$36)</f>
        <v>3146201.11</v>
      </c>
      <c r="G31" s="42">
        <f>('[5]2100'!$L$36)</f>
        <v>774590</v>
      </c>
      <c r="H31" s="42">
        <f>('[6]2100'!$L$36)</f>
        <v>0</v>
      </c>
      <c r="I31" s="42">
        <f>('[7]2100'!$L$36)</f>
        <v>0</v>
      </c>
      <c r="J31" s="66"/>
      <c r="K31" s="32" t="s">
        <v>467</v>
      </c>
      <c r="N31" s="63">
        <f>(B82-B58-B53-B66+B61-B75)/Balance!B63</f>
        <v>7.8962692830532422E-2</v>
      </c>
    </row>
    <row r="32" spans="1:14" s="32" customFormat="1" ht="18" customHeight="1">
      <c r="A32" s="62" t="s">
        <v>54</v>
      </c>
      <c r="B32" s="36">
        <f t="shared" si="0"/>
        <v>4636798.16</v>
      </c>
      <c r="C32" s="42">
        <f>('[1]2100'!$L$37)</f>
        <v>0</v>
      </c>
      <c r="D32" s="42">
        <f>('[2]2100'!$L$37)</f>
        <v>0</v>
      </c>
      <c r="E32" s="42">
        <f>('[3]2100'!$L$37)</f>
        <v>0</v>
      </c>
      <c r="F32" s="42">
        <f>('[4]2100'!$L$37)</f>
        <v>0</v>
      </c>
      <c r="G32" s="42">
        <f>('[5]2100'!$L$37)</f>
        <v>0</v>
      </c>
      <c r="H32" s="42">
        <f>('[6]2100'!$L$37)</f>
        <v>2133997.0699999998</v>
      </c>
      <c r="I32" s="42">
        <f>('[7]2100'!$L$37)</f>
        <v>2502801.09</v>
      </c>
      <c r="J32" s="66"/>
      <c r="K32" s="32" t="s">
        <v>468</v>
      </c>
      <c r="N32" s="63">
        <f>(Balance!B13+Balance!B40)/(Balance!M13+Balance!M26+Balance!M27+Balance!M28)</f>
        <v>0.81597538757326715</v>
      </c>
    </row>
    <row r="33" spans="1:14" s="32" customFormat="1" ht="18" customHeight="1">
      <c r="A33" s="62" t="s">
        <v>55</v>
      </c>
      <c r="B33" s="36">
        <f t="shared" si="0"/>
        <v>697177.5</v>
      </c>
      <c r="C33" s="42">
        <f>('[1]2100'!$L$38)</f>
        <v>660600</v>
      </c>
      <c r="D33" s="42">
        <f>('[2]2100'!$L$38)</f>
        <v>0</v>
      </c>
      <c r="E33" s="42">
        <f>('[3]2100'!$L$38)</f>
        <v>17647.5</v>
      </c>
      <c r="F33" s="42">
        <f>('[4]2100'!$L$38)</f>
        <v>0</v>
      </c>
      <c r="G33" s="42">
        <f>('[5]2100'!$L$38)</f>
        <v>18930</v>
      </c>
      <c r="H33" s="42">
        <f>('[6]2100'!$L$38)</f>
        <v>0</v>
      </c>
      <c r="I33" s="42">
        <f>('[7]2100'!$L$38)</f>
        <v>0</v>
      </c>
      <c r="J33" s="66"/>
      <c r="K33" s="32" t="s">
        <v>469</v>
      </c>
      <c r="N33" s="63">
        <f>Balance!M13/(Balance!M26+Balance!M27+Balance!M28+Balance!M41)</f>
        <v>15.062875726845295</v>
      </c>
    </row>
    <row r="34" spans="1:14" s="32" customFormat="1" ht="18" customHeight="1">
      <c r="A34" s="62" t="s">
        <v>56</v>
      </c>
      <c r="B34" s="36">
        <f t="shared" si="0"/>
        <v>133660</v>
      </c>
      <c r="C34" s="42">
        <f>('[1]2100'!$L$39)</f>
        <v>0</v>
      </c>
      <c r="D34" s="42">
        <f>('[2]2100'!$L$39)</f>
        <v>0</v>
      </c>
      <c r="E34" s="42">
        <f>('[3]2100'!$L$39)</f>
        <v>0</v>
      </c>
      <c r="F34" s="42">
        <f>('[4]2100'!$L$39)</f>
        <v>0</v>
      </c>
      <c r="G34" s="42">
        <f>('[5]2100'!$L$39)</f>
        <v>0</v>
      </c>
      <c r="H34" s="42">
        <f>('[6]2100'!$L$39)</f>
        <v>0</v>
      </c>
      <c r="I34" s="42">
        <f>('[7]2100'!$L$39)</f>
        <v>133660</v>
      </c>
      <c r="J34" s="66"/>
      <c r="K34" s="32" t="s">
        <v>470</v>
      </c>
      <c r="N34" s="63" t="str">
        <f>IF((Balance!M28)=0,"   --",(Balance!M41)/(Balance!M28+Balance!M41))</f>
        <v xml:space="preserve">   --</v>
      </c>
    </row>
    <row r="35" spans="1:14" s="32" customFormat="1" ht="18" customHeight="1">
      <c r="A35" s="31" t="s">
        <v>164</v>
      </c>
      <c r="B35" s="36">
        <f t="shared" si="0"/>
        <v>12092.9</v>
      </c>
      <c r="C35" s="42">
        <f>'[1]2100'!$L$20</f>
        <v>0</v>
      </c>
      <c r="D35" s="42">
        <f>'[2]2100'!$L$20</f>
        <v>0</v>
      </c>
      <c r="E35" s="42">
        <f>'[3]2100'!$L$20</f>
        <v>1875.41</v>
      </c>
      <c r="F35" s="42">
        <f>'[4]2100'!$L$20</f>
        <v>0</v>
      </c>
      <c r="G35" s="42">
        <f>'[5]2100'!$L$20</f>
        <v>0</v>
      </c>
      <c r="H35" s="42">
        <f>'[6]2100'!$L$20</f>
        <v>0</v>
      </c>
      <c r="I35" s="42">
        <f>'[7]2100'!$L$20</f>
        <v>10217.49</v>
      </c>
      <c r="J35" s="66"/>
    </row>
    <row r="36" spans="1:14" s="32" customFormat="1" ht="18" customHeight="1">
      <c r="A36" s="31" t="s">
        <v>165</v>
      </c>
      <c r="B36" s="36">
        <f t="shared" si="0"/>
        <v>0</v>
      </c>
      <c r="C36" s="42"/>
      <c r="D36" s="42"/>
      <c r="E36" s="42"/>
      <c r="F36" s="42"/>
      <c r="G36" s="42"/>
      <c r="H36" s="42"/>
      <c r="I36" s="42"/>
      <c r="J36" s="66"/>
    </row>
    <row r="37" spans="1:14" s="32" customFormat="1" ht="18" customHeight="1">
      <c r="A37" s="31" t="s">
        <v>166</v>
      </c>
      <c r="B37" s="36">
        <f t="shared" si="0"/>
        <v>0</v>
      </c>
      <c r="C37" s="42">
        <f>'[1]2100'!$L$25</f>
        <v>0</v>
      </c>
      <c r="D37" s="42">
        <f>'[2]2100'!$L$25</f>
        <v>0</v>
      </c>
      <c r="E37" s="42">
        <f>'[3]2100'!$L$25</f>
        <v>0</v>
      </c>
      <c r="F37" s="42">
        <f>'[4]2100'!$L$25</f>
        <v>0</v>
      </c>
      <c r="G37" s="42">
        <f>'[5]2100'!$L$25</f>
        <v>0</v>
      </c>
      <c r="H37" s="42">
        <f>'[6]2100'!$L$25</f>
        <v>0</v>
      </c>
      <c r="I37" s="42">
        <f>'[7]2100'!$L$25</f>
        <v>0</v>
      </c>
      <c r="J37" s="66"/>
      <c r="K37" s="57" t="s">
        <v>489</v>
      </c>
      <c r="L37" s="57"/>
      <c r="M37" s="57"/>
      <c r="N37" s="57"/>
    </row>
    <row r="38" spans="1:14" s="32" customFormat="1" ht="18" customHeight="1">
      <c r="A38" s="31" t="s">
        <v>167</v>
      </c>
      <c r="B38" s="36">
        <f t="shared" si="0"/>
        <v>6842389.6799999997</v>
      </c>
      <c r="C38" s="42">
        <f>'[1]2100'!$L$26</f>
        <v>69748.160000000003</v>
      </c>
      <c r="D38" s="42">
        <f>'[2]2100'!$L$26</f>
        <v>6744009.2599999998</v>
      </c>
      <c r="E38" s="42">
        <f>'[3]2100'!$L$26</f>
        <v>0</v>
      </c>
      <c r="F38" s="42">
        <f>'[4]2100'!$L$26</f>
        <v>28632.26</v>
      </c>
      <c r="G38" s="42">
        <f>'[5]2100'!$L$26</f>
        <v>0</v>
      </c>
      <c r="H38" s="42">
        <f>'[6]2100'!$L$26</f>
        <v>0</v>
      </c>
      <c r="I38" s="42">
        <f>'[7]2100'!$L$26</f>
        <v>0</v>
      </c>
      <c r="J38" s="66"/>
      <c r="K38" s="31"/>
      <c r="L38" s="31"/>
      <c r="M38" s="31"/>
      <c r="N38" s="31"/>
    </row>
    <row r="39" spans="1:14" s="32" customFormat="1" ht="18" customHeight="1">
      <c r="A39" s="62" t="s">
        <v>57</v>
      </c>
      <c r="B39" s="36">
        <f t="shared" si="0"/>
        <v>6842389.6799999997</v>
      </c>
      <c r="C39" s="42">
        <f>'[1]2100'!$L$27</f>
        <v>69748.160000000003</v>
      </c>
      <c r="D39" s="42">
        <f>'[2]2100'!$L$27</f>
        <v>6744009.2599999998</v>
      </c>
      <c r="E39" s="42">
        <f>'[3]2100'!$L$27</f>
        <v>0</v>
      </c>
      <c r="F39" s="42">
        <f>'[4]2100'!$L$27</f>
        <v>28632.26</v>
      </c>
      <c r="G39" s="42">
        <f>'[5]2100'!$L$27</f>
        <v>0</v>
      </c>
      <c r="H39" s="42">
        <f>'[6]2100'!$L$27</f>
        <v>0</v>
      </c>
      <c r="I39" s="42">
        <f>'[7]2100'!$L$27</f>
        <v>0</v>
      </c>
      <c r="J39" s="31"/>
      <c r="K39" s="31" t="s">
        <v>31</v>
      </c>
      <c r="N39" s="63">
        <f>IF(Balance!M13&lt;0,B82/ABS(Balance!M13),B82/Balance!M13)</f>
        <v>-2.7540863194449903E-2</v>
      </c>
    </row>
    <row r="40" spans="1:14" s="32" customFormat="1" ht="18" customHeight="1">
      <c r="A40" s="62" t="s">
        <v>58</v>
      </c>
      <c r="B40" s="36">
        <f t="shared" si="0"/>
        <v>0</v>
      </c>
      <c r="C40" s="42">
        <f>'[1]2100'!$L$28</f>
        <v>0</v>
      </c>
      <c r="D40" s="42">
        <f>'[2]2100'!$L$28</f>
        <v>0</v>
      </c>
      <c r="E40" s="42">
        <f>'[3]2100'!$L$28</f>
        <v>0</v>
      </c>
      <c r="F40" s="42">
        <f>'[4]2100'!$L$28</f>
        <v>0</v>
      </c>
      <c r="G40" s="42">
        <f>'[5]2100'!$L$28</f>
        <v>0</v>
      </c>
      <c r="H40" s="42">
        <f>'[6]2100'!$L$28</f>
        <v>0</v>
      </c>
      <c r="I40" s="42">
        <f>'[7]2100'!$L$28</f>
        <v>0</v>
      </c>
      <c r="J40" s="31"/>
      <c r="K40" s="32" t="s">
        <v>471</v>
      </c>
      <c r="N40" s="63">
        <f>B14/B42</f>
        <v>7.0446782840001661E-6</v>
      </c>
    </row>
    <row r="41" spans="1:14" s="32" customFormat="1" ht="18" customHeight="1">
      <c r="A41" s="31" t="s">
        <v>168</v>
      </c>
      <c r="B41" s="36">
        <f t="shared" si="0"/>
        <v>0</v>
      </c>
      <c r="C41" s="42">
        <f>'[1]2100'!$L$24</f>
        <v>0</v>
      </c>
      <c r="D41" s="42">
        <f>'[2]2100'!$L$24</f>
        <v>0</v>
      </c>
      <c r="E41" s="42">
        <f>'[3]2100'!$L$24</f>
        <v>0</v>
      </c>
      <c r="F41" s="42">
        <f>'[4]2100'!$L$24</f>
        <v>0</v>
      </c>
      <c r="G41" s="42">
        <f>'[5]2100'!$L$24</f>
        <v>0</v>
      </c>
      <c r="H41" s="42">
        <f>'[6]2100'!$L$24</f>
        <v>0</v>
      </c>
      <c r="I41" s="42">
        <f>'[7]2100'!$L$24</f>
        <v>0</v>
      </c>
      <c r="J41" s="31"/>
      <c r="K41" s="32" t="s">
        <v>472</v>
      </c>
      <c r="N41" s="63">
        <f>B30/B42</f>
        <v>0.84522492782369218</v>
      </c>
    </row>
    <row r="42" spans="1:14" s="32" customFormat="1" ht="18" customHeight="1">
      <c r="A42" s="210" t="s">
        <v>169</v>
      </c>
      <c r="B42" s="208">
        <f t="shared" si="0"/>
        <v>44288750.659999996</v>
      </c>
      <c r="C42" s="42">
        <f t="shared" ref="C42:I42" si="2">C14+C30+SUM(C35:C38)+C41</f>
        <v>28072588.16</v>
      </c>
      <c r="D42" s="42">
        <f t="shared" si="2"/>
        <v>6744009.2599999998</v>
      </c>
      <c r="E42" s="42">
        <f t="shared" si="2"/>
        <v>722812.22000000009</v>
      </c>
      <c r="F42" s="42">
        <f t="shared" si="2"/>
        <v>3174833.3699999996</v>
      </c>
      <c r="G42" s="42">
        <f>G14+G30+SUM(G35:G38)+G41</f>
        <v>793520</v>
      </c>
      <c r="H42" s="42">
        <f t="shared" si="2"/>
        <v>2134309.0699999998</v>
      </c>
      <c r="I42" s="42">
        <f t="shared" si="2"/>
        <v>2646678.58</v>
      </c>
      <c r="J42" s="31"/>
      <c r="K42" s="31" t="s">
        <v>473</v>
      </c>
      <c r="N42" s="63">
        <f>B35/B42</f>
        <v>2.7304676288649236E-4</v>
      </c>
    </row>
    <row r="43" spans="1:14" s="32" customFormat="1" ht="18" customHeight="1">
      <c r="A43" s="31" t="s">
        <v>172</v>
      </c>
      <c r="B43" s="36">
        <f t="shared" si="0"/>
        <v>-28504615.990000002</v>
      </c>
      <c r="C43" s="42">
        <f>-'[1]2100'!$D$5</f>
        <v>-15609452.32</v>
      </c>
      <c r="D43" s="42">
        <f>-'[2]2100'!$D$5</f>
        <v>-5826306.0100000007</v>
      </c>
      <c r="E43" s="42">
        <f>-'[3]2100'!$D$5</f>
        <v>-363131.48000000004</v>
      </c>
      <c r="F43" s="42">
        <f>-'[4]2100'!$D$5</f>
        <v>-2667825.34</v>
      </c>
      <c r="G43" s="42">
        <f>-'[5]2100'!$D$5</f>
        <v>-474949.33</v>
      </c>
      <c r="H43" s="42">
        <f>-'[6]2100'!$D$5</f>
        <v>-1865854.8</v>
      </c>
      <c r="I43" s="42">
        <f>-'[7]2100'!$D$5</f>
        <v>-1697096.71</v>
      </c>
      <c r="J43" s="31"/>
      <c r="K43" s="31" t="s">
        <v>474</v>
      </c>
      <c r="N43" s="63">
        <f>(B36+B37+B38+B41)/B42</f>
        <v>0.15449498073513732</v>
      </c>
    </row>
    <row r="44" spans="1:14" s="32" customFormat="1" ht="18" customHeight="1">
      <c r="A44" s="62" t="s">
        <v>170</v>
      </c>
      <c r="B44" s="36">
        <f t="shared" si="0"/>
        <v>-23540241.130000003</v>
      </c>
      <c r="C44" s="42">
        <f>-'[1]2100'!$D$6</f>
        <v>-12809001.130000001</v>
      </c>
      <c r="D44" s="42">
        <f>-'[2]2100'!$D$6</f>
        <v>-4899130.1900000004</v>
      </c>
      <c r="E44" s="42">
        <f>-'[3]2100'!$D$6</f>
        <v>-293462.52</v>
      </c>
      <c r="F44" s="42">
        <f>-'[4]2100'!$D$6</f>
        <v>-2179754.19</v>
      </c>
      <c r="G44" s="42">
        <f>-'[5]2100'!$D$6</f>
        <v>-386546.03</v>
      </c>
      <c r="H44" s="42">
        <f>-'[6]2100'!$D$6</f>
        <v>-1600778.72</v>
      </c>
      <c r="I44" s="42">
        <f>-'[7]2100'!$D$6</f>
        <v>-1371568.35</v>
      </c>
      <c r="J44" s="31"/>
      <c r="K44" s="32" t="s">
        <v>475</v>
      </c>
      <c r="N44" s="63">
        <f>B43/B59</f>
        <v>0.66181083467525847</v>
      </c>
    </row>
    <row r="45" spans="1:14" s="32" customFormat="1" ht="18" customHeight="1">
      <c r="A45" s="62" t="s">
        <v>171</v>
      </c>
      <c r="B45" s="36">
        <f t="shared" si="0"/>
        <v>-4964374.8600000003</v>
      </c>
      <c r="C45" s="42">
        <f>-'[1]2100'!$D$7</f>
        <v>-2800451.19</v>
      </c>
      <c r="D45" s="42">
        <f>-'[2]2100'!$D$7</f>
        <v>-927175.82</v>
      </c>
      <c r="E45" s="42">
        <f>-'[3]2100'!$D$7</f>
        <v>-69668.960000000006</v>
      </c>
      <c r="F45" s="42">
        <f>-'[4]2100'!$D$7</f>
        <v>-488071.15</v>
      </c>
      <c r="G45" s="42">
        <f>-'[5]2100'!$D$7</f>
        <v>-88403.3</v>
      </c>
      <c r="H45" s="42">
        <f>-'[6]2100'!$D$7</f>
        <v>-265076.08</v>
      </c>
      <c r="I45" s="42">
        <f>-'[7]2100'!$D$7</f>
        <v>-325528.36</v>
      </c>
      <c r="J45" s="31"/>
      <c r="K45" s="32" t="s">
        <v>476</v>
      </c>
      <c r="N45" s="63">
        <f>B47/B59</f>
        <v>9.5454988862486045E-2</v>
      </c>
    </row>
    <row r="46" spans="1:14" s="32" customFormat="1" ht="18" customHeight="1">
      <c r="A46" s="31" t="s">
        <v>173</v>
      </c>
      <c r="B46" s="36">
        <f t="shared" ref="B46:B77" si="3">SUM(C46:I46)</f>
        <v>0</v>
      </c>
      <c r="C46" s="42">
        <f>-'[1]2100'!$D$8</f>
        <v>0</v>
      </c>
      <c r="D46" s="42">
        <f>-'[2]2100'!$D$8</f>
        <v>0</v>
      </c>
      <c r="E46" s="42">
        <f>-'[3]2100'!$D$8</f>
        <v>0</v>
      </c>
      <c r="F46" s="42">
        <f>-'[4]2100'!$D$8</f>
        <v>0</v>
      </c>
      <c r="G46" s="42">
        <f>-'[5]2100'!$D$8</f>
        <v>0</v>
      </c>
      <c r="H46" s="42">
        <f>-'[6]2100'!$D$8</f>
        <v>0</v>
      </c>
      <c r="I46" s="42">
        <f>-'[7]2100'!$D$8</f>
        <v>0</v>
      </c>
      <c r="J46" s="31"/>
      <c r="K46" s="32" t="s">
        <v>477</v>
      </c>
      <c r="N46" s="63">
        <f>B54/B59</f>
        <v>0.15197960304637378</v>
      </c>
    </row>
    <row r="47" spans="1:14" s="32" customFormat="1" ht="18" customHeight="1">
      <c r="A47" s="31" t="s">
        <v>174</v>
      </c>
      <c r="B47" s="36">
        <f t="shared" si="3"/>
        <v>-4111307.4299999997</v>
      </c>
      <c r="C47" s="42">
        <f t="shared" ref="C47:I47" si="4">SUM(C48:C51)</f>
        <v>-3701690.8</v>
      </c>
      <c r="D47" s="42">
        <f t="shared" si="4"/>
        <v>0</v>
      </c>
      <c r="E47" s="42">
        <f t="shared" si="4"/>
        <v>-15000</v>
      </c>
      <c r="F47" s="42">
        <f t="shared" si="4"/>
        <v>-12311.6</v>
      </c>
      <c r="G47" s="42">
        <f>SUM(G48:G51)</f>
        <v>-200004.84</v>
      </c>
      <c r="H47" s="42">
        <f t="shared" si="4"/>
        <v>0</v>
      </c>
      <c r="I47" s="42">
        <f t="shared" si="4"/>
        <v>-182300.19</v>
      </c>
      <c r="J47" s="31"/>
      <c r="K47" s="32" t="s">
        <v>478</v>
      </c>
      <c r="N47" s="63" t="str">
        <f>IF(B52&lt;0,B52/B59,"No aplica")</f>
        <v>No aplica</v>
      </c>
    </row>
    <row r="48" spans="1:14" s="32" customFormat="1" ht="18" customHeight="1" thickBot="1">
      <c r="A48" s="62" t="s">
        <v>53</v>
      </c>
      <c r="B48" s="36">
        <f t="shared" si="3"/>
        <v>-3911302.59</v>
      </c>
      <c r="C48" s="42">
        <f>-('[1]2100'!$D$22)</f>
        <v>-3701690.8</v>
      </c>
      <c r="D48" s="42">
        <f>-('[2]2100'!$D$22)</f>
        <v>0</v>
      </c>
      <c r="E48" s="42">
        <f>-('[3]2100'!$D$22)</f>
        <v>-15000</v>
      </c>
      <c r="F48" s="42">
        <f>-('[4]2100'!$D$22)</f>
        <v>-12311.6</v>
      </c>
      <c r="G48" s="42">
        <f>-('[5]2100'!$D$22)</f>
        <v>0</v>
      </c>
      <c r="H48" s="42">
        <f>-('[6]2100'!$D$22)</f>
        <v>0</v>
      </c>
      <c r="I48" s="42">
        <f>-('[7]2100'!$D$22)</f>
        <v>-182300.19</v>
      </c>
      <c r="J48" s="31"/>
      <c r="K48" s="67" t="s">
        <v>479</v>
      </c>
      <c r="L48" s="67"/>
      <c r="M48" s="67"/>
      <c r="N48" s="68">
        <f>(B46+B53+B58)/B59</f>
        <v>9.0754573415881667E-2</v>
      </c>
    </row>
    <row r="49" spans="1:11" s="32" customFormat="1" ht="18" customHeight="1">
      <c r="A49" s="62" t="s">
        <v>54</v>
      </c>
      <c r="B49" s="36">
        <f t="shared" si="3"/>
        <v>-200004.84</v>
      </c>
      <c r="C49" s="42">
        <f>-('[1]2100'!$D$23)</f>
        <v>0</v>
      </c>
      <c r="D49" s="42">
        <f>-('[2]2100'!$D$23)</f>
        <v>0</v>
      </c>
      <c r="E49" s="42">
        <f>-('[3]2100'!$D$23)</f>
        <v>0</v>
      </c>
      <c r="F49" s="42">
        <f>-('[4]2100'!$D$23)</f>
        <v>0</v>
      </c>
      <c r="G49" s="42">
        <f>-('[5]2100'!$D$23)</f>
        <v>-200004.84</v>
      </c>
      <c r="H49" s="42">
        <f>-('[6]2100'!$D$23)</f>
        <v>0</v>
      </c>
      <c r="I49" s="42">
        <f>-('[7]2100'!$D$23)</f>
        <v>0</v>
      </c>
      <c r="J49" s="31"/>
      <c r="K49" s="31"/>
    </row>
    <row r="50" spans="1:11" s="32" customFormat="1" ht="18" customHeight="1">
      <c r="A50" s="62" t="s">
        <v>55</v>
      </c>
      <c r="B50" s="36">
        <f t="shared" si="3"/>
        <v>0</v>
      </c>
      <c r="C50" s="42">
        <f>-('[1]2100'!$D$24)</f>
        <v>0</v>
      </c>
      <c r="D50" s="42">
        <f>-('[2]2100'!$D$24)</f>
        <v>0</v>
      </c>
      <c r="E50" s="42">
        <f>-('[3]2100'!$D$24)</f>
        <v>0</v>
      </c>
      <c r="F50" s="42">
        <f>-('[4]2100'!$D$24)</f>
        <v>0</v>
      </c>
      <c r="G50" s="42">
        <f>-('[5]2100'!$D$24)</f>
        <v>0</v>
      </c>
      <c r="H50" s="42">
        <f>-('[6]2100'!$D$24)</f>
        <v>0</v>
      </c>
      <c r="I50" s="42">
        <f>-('[7]2100'!$D$24)</f>
        <v>0</v>
      </c>
      <c r="J50" s="31"/>
      <c r="K50" s="32" t="s">
        <v>32</v>
      </c>
    </row>
    <row r="51" spans="1:11" s="32" customFormat="1" ht="18" customHeight="1">
      <c r="A51" s="62" t="s">
        <v>56</v>
      </c>
      <c r="B51" s="36">
        <f t="shared" si="3"/>
        <v>0</v>
      </c>
      <c r="C51" s="42">
        <f>-('[1]2100'!$D$25)</f>
        <v>0</v>
      </c>
      <c r="D51" s="42">
        <f>-('[2]2100'!$D$25)</f>
        <v>0</v>
      </c>
      <c r="E51" s="42">
        <f>-('[3]2100'!$D$25)</f>
        <v>0</v>
      </c>
      <c r="F51" s="42">
        <f>-('[4]2100'!$D$25)</f>
        <v>0</v>
      </c>
      <c r="G51" s="42">
        <f>-('[5]2100'!$D$25)</f>
        <v>0</v>
      </c>
      <c r="H51" s="42">
        <f>-('[6]2100'!$D$25)</f>
        <v>0</v>
      </c>
      <c r="I51" s="42">
        <f>-('[7]2100'!$D$25)</f>
        <v>0</v>
      </c>
      <c r="J51" s="31"/>
      <c r="K51" s="32" t="s">
        <v>33</v>
      </c>
    </row>
    <row r="52" spans="1:11" s="32" customFormat="1" ht="18" customHeight="1">
      <c r="A52" s="31" t="s">
        <v>175</v>
      </c>
      <c r="B52" s="36">
        <f t="shared" si="3"/>
        <v>0</v>
      </c>
      <c r="C52" s="42"/>
      <c r="D52" s="42"/>
      <c r="E52" s="42"/>
      <c r="F52" s="42"/>
      <c r="G52" s="42"/>
      <c r="H52" s="42"/>
      <c r="I52" s="42"/>
      <c r="J52" s="31"/>
      <c r="K52" s="31"/>
    </row>
    <row r="53" spans="1:11" s="32" customFormat="1" ht="18" customHeight="1">
      <c r="A53" s="31" t="s">
        <v>176</v>
      </c>
      <c r="B53" s="36">
        <f t="shared" si="3"/>
        <v>-1444.52</v>
      </c>
      <c r="C53" s="42">
        <f>-'[1]2100'!$D$10</f>
        <v>0</v>
      </c>
      <c r="D53" s="42">
        <f>-'[2]2100'!$D$10</f>
        <v>0</v>
      </c>
      <c r="E53" s="42">
        <f>-'[3]2100'!$D$10</f>
        <v>0</v>
      </c>
      <c r="F53" s="42">
        <f>-'[4]2100'!$D$10</f>
        <v>0</v>
      </c>
      <c r="G53" s="42">
        <f>-'[5]2100'!$D$10</f>
        <v>0</v>
      </c>
      <c r="H53" s="42">
        <f>-'[6]2100'!$D$10</f>
        <v>-1444.52</v>
      </c>
      <c r="I53" s="42">
        <f>-'[7]2100'!$D$10</f>
        <v>0</v>
      </c>
      <c r="J53" s="31"/>
      <c r="K53" s="31"/>
    </row>
    <row r="54" spans="1:11" s="32" customFormat="1" ht="18" customHeight="1">
      <c r="A54" s="31" t="s">
        <v>422</v>
      </c>
      <c r="B54" s="36">
        <f t="shared" si="3"/>
        <v>-6545858.7199999997</v>
      </c>
      <c r="C54" s="42">
        <f>-'[1]2100'!$D12</f>
        <v>-3954266.23</v>
      </c>
      <c r="D54" s="42">
        <f>-'[2]2100'!$D12</f>
        <v>-492659.69</v>
      </c>
      <c r="E54" s="42">
        <f>-'[3]2100'!$D12</f>
        <v>-619526.25</v>
      </c>
      <c r="F54" s="42">
        <f>-'[4]2100'!$D12</f>
        <v>-332685.53999999998</v>
      </c>
      <c r="G54" s="42">
        <f>-'[5]2100'!$D12</f>
        <v>-78533.17</v>
      </c>
      <c r="H54" s="42">
        <f>-'[6]2100'!$D12</f>
        <v>-275982.33</v>
      </c>
      <c r="I54" s="42">
        <f>-'[7]2100'!$D12</f>
        <v>-792205.51</v>
      </c>
      <c r="J54" s="31"/>
      <c r="K54" s="31"/>
    </row>
    <row r="55" spans="1:11" s="32" customFormat="1" ht="18" customHeight="1">
      <c r="A55" s="62" t="s">
        <v>177</v>
      </c>
      <c r="B55" s="36">
        <f t="shared" si="3"/>
        <v>-6524709.1200000001</v>
      </c>
      <c r="C55" s="42">
        <f>-'[1]2100'!$D13</f>
        <v>-3954266.23</v>
      </c>
      <c r="D55" s="42">
        <f>-'[2]2100'!$D13</f>
        <v>-471910.6</v>
      </c>
      <c r="E55" s="42">
        <f>-'[3]2100'!$D13</f>
        <v>-619526.25</v>
      </c>
      <c r="F55" s="42">
        <f>-'[4]2100'!$D13</f>
        <v>-332685.53999999998</v>
      </c>
      <c r="G55" s="42">
        <f>-'[5]2100'!$D13</f>
        <v>-78533.17</v>
      </c>
      <c r="H55" s="42">
        <f>-'[6]2100'!$D13</f>
        <v>-275581.82</v>
      </c>
      <c r="I55" s="42">
        <f>-'[7]2100'!$D13</f>
        <v>-792205.51</v>
      </c>
      <c r="J55" s="31"/>
      <c r="K55" s="31"/>
    </row>
    <row r="56" spans="1:11" s="32" customFormat="1" ht="18" customHeight="1">
      <c r="A56" s="62" t="s">
        <v>178</v>
      </c>
      <c r="B56" s="36">
        <f t="shared" si="3"/>
        <v>-21149.599999999999</v>
      </c>
      <c r="C56" s="42">
        <f>-'[1]2100'!$D14</f>
        <v>0</v>
      </c>
      <c r="D56" s="42">
        <f>-'[2]2100'!$D14</f>
        <v>-20749.09</v>
      </c>
      <c r="E56" s="42">
        <f>-'[3]2100'!$D14</f>
        <v>0</v>
      </c>
      <c r="F56" s="42">
        <f>-'[4]2100'!$D14</f>
        <v>0</v>
      </c>
      <c r="G56" s="42">
        <f>-'[5]2100'!$D14</f>
        <v>0</v>
      </c>
      <c r="H56" s="42">
        <f>-'[6]2100'!$D14</f>
        <v>-400.51</v>
      </c>
      <c r="I56" s="42">
        <f>-'[7]2100'!$D14</f>
        <v>0</v>
      </c>
      <c r="J56" s="31"/>
      <c r="K56" s="31"/>
    </row>
    <row r="57" spans="1:11" s="32" customFormat="1" ht="18" customHeight="1">
      <c r="A57" s="62" t="s">
        <v>179</v>
      </c>
      <c r="B57" s="36">
        <f t="shared" si="3"/>
        <v>0</v>
      </c>
      <c r="C57" s="42">
        <f>-'[1]2100'!$D15</f>
        <v>0</v>
      </c>
      <c r="D57" s="42">
        <f>-'[2]2100'!$D15</f>
        <v>0</v>
      </c>
      <c r="E57" s="42">
        <f>-'[3]2100'!$D15</f>
        <v>0</v>
      </c>
      <c r="F57" s="42">
        <f>-'[4]2100'!$D15</f>
        <v>0</v>
      </c>
      <c r="G57" s="42">
        <f>-'[5]2100'!$D15</f>
        <v>0</v>
      </c>
      <c r="H57" s="42">
        <f>-'[6]2100'!$D15</f>
        <v>0</v>
      </c>
      <c r="I57" s="42">
        <f>-'[7]2100'!$D15</f>
        <v>0</v>
      </c>
      <c r="J57" s="31"/>
      <c r="K57" s="31"/>
    </row>
    <row r="58" spans="1:11" s="32" customFormat="1" ht="18" customHeight="1">
      <c r="A58" s="31" t="s">
        <v>423</v>
      </c>
      <c r="B58" s="36">
        <f t="shared" si="3"/>
        <v>-3907413.0100000007</v>
      </c>
      <c r="C58" s="42">
        <f>-'[1]2100'!$D$9</f>
        <v>-3561124.22</v>
      </c>
      <c r="D58" s="42">
        <f>-'[2]2100'!$D$9</f>
        <v>-115597.74</v>
      </c>
      <c r="E58" s="42">
        <f>-'[3]2100'!$D$9</f>
        <v>-18211.66</v>
      </c>
      <c r="F58" s="42">
        <f>-'[4]2100'!$D$9</f>
        <v>-163188.04999999999</v>
      </c>
      <c r="G58" s="42">
        <f>-'[5]2100'!$D$9</f>
        <v>-7234.93</v>
      </c>
      <c r="H58" s="42">
        <f>-'[6]2100'!$D$9</f>
        <v>0</v>
      </c>
      <c r="I58" s="42">
        <f>-'[7]2100'!$D$9</f>
        <v>-42056.41</v>
      </c>
      <c r="J58" s="31"/>
    </row>
    <row r="59" spans="1:11" s="32" customFormat="1" ht="18" customHeight="1">
      <c r="A59" s="210" t="s">
        <v>424</v>
      </c>
      <c r="B59" s="208">
        <f t="shared" si="3"/>
        <v>-43070639.670000002</v>
      </c>
      <c r="C59" s="42">
        <f t="shared" ref="C59:I59" si="5">C43+C46+C47+SUM(C52:C54)+C58</f>
        <v>-26826533.57</v>
      </c>
      <c r="D59" s="42">
        <f t="shared" si="5"/>
        <v>-6434563.4400000013</v>
      </c>
      <c r="E59" s="42">
        <f t="shared" si="5"/>
        <v>-1015869.39</v>
      </c>
      <c r="F59" s="42">
        <f t="shared" si="5"/>
        <v>-3176010.53</v>
      </c>
      <c r="G59" s="42">
        <f>G43+G46+G47+SUM(G52:G54)+G58</f>
        <v>-760722.27000000014</v>
      </c>
      <c r="H59" s="42">
        <f t="shared" si="5"/>
        <v>-2143281.65</v>
      </c>
      <c r="I59" s="42">
        <f t="shared" si="5"/>
        <v>-2713658.8200000003</v>
      </c>
      <c r="J59" s="31"/>
    </row>
    <row r="60" spans="1:11" s="32" customFormat="1" ht="18" customHeight="1">
      <c r="A60" s="211" t="s">
        <v>180</v>
      </c>
      <c r="B60" s="212">
        <f t="shared" si="3"/>
        <v>1218110.9899999979</v>
      </c>
      <c r="C60" s="42">
        <f t="shared" ref="C60:I60" si="6">C42+C59</f>
        <v>1246054.5899999999</v>
      </c>
      <c r="D60" s="42">
        <f t="shared" si="6"/>
        <v>309445.81999999844</v>
      </c>
      <c r="E60" s="42">
        <f t="shared" si="6"/>
        <v>-293057.16999999993</v>
      </c>
      <c r="F60" s="42">
        <f t="shared" si="6"/>
        <v>-1177.160000000149</v>
      </c>
      <c r="G60" s="42">
        <f>G42+G59</f>
        <v>32797.729999999865</v>
      </c>
      <c r="H60" s="42">
        <f t="shared" si="6"/>
        <v>-8972.5800000000745</v>
      </c>
      <c r="I60" s="42">
        <f t="shared" si="6"/>
        <v>-66980.240000000224</v>
      </c>
      <c r="J60" s="31"/>
    </row>
    <row r="61" spans="1:11" s="32" customFormat="1" ht="18" customHeight="1">
      <c r="A61" s="31" t="s">
        <v>425</v>
      </c>
      <c r="B61" s="36">
        <f t="shared" si="3"/>
        <v>0</v>
      </c>
      <c r="C61" s="42">
        <f>'[1]2100'!$L40</f>
        <v>0</v>
      </c>
      <c r="D61" s="42">
        <f>'[2]2100'!$L40</f>
        <v>0</v>
      </c>
      <c r="E61" s="42">
        <f>'[3]2100'!$L40</f>
        <v>0</v>
      </c>
      <c r="F61" s="42">
        <f>'[4]2100'!$L40</f>
        <v>0</v>
      </c>
      <c r="G61" s="42">
        <f>'[5]2100'!$L40</f>
        <v>0</v>
      </c>
      <c r="H61" s="42">
        <f>'[6]2100'!$L40</f>
        <v>0</v>
      </c>
      <c r="I61" s="42">
        <f>'[7]2100'!$L40</f>
        <v>0</v>
      </c>
      <c r="J61" s="31"/>
    </row>
    <row r="62" spans="1:11" s="32" customFormat="1" ht="18" customHeight="1">
      <c r="A62" s="62" t="s">
        <v>181</v>
      </c>
      <c r="B62" s="36">
        <f t="shared" si="3"/>
        <v>0</v>
      </c>
      <c r="C62" s="42">
        <f>'[1]2100'!$L41</f>
        <v>0</v>
      </c>
      <c r="D62" s="42">
        <f>'[2]2100'!$L41</f>
        <v>0</v>
      </c>
      <c r="E62" s="42">
        <f>'[3]2100'!$L41</f>
        <v>0</v>
      </c>
      <c r="F62" s="42">
        <f>'[4]2100'!$L41</f>
        <v>0</v>
      </c>
      <c r="G62" s="42">
        <f>'[5]2100'!$L41</f>
        <v>0</v>
      </c>
      <c r="H62" s="42">
        <f>'[6]2100'!$L41</f>
        <v>0</v>
      </c>
      <c r="I62" s="42">
        <f>'[7]2100'!$L41</f>
        <v>0</v>
      </c>
      <c r="J62" s="31"/>
    </row>
    <row r="63" spans="1:11" s="32" customFormat="1" ht="18" customHeight="1">
      <c r="A63" s="62" t="s">
        <v>182</v>
      </c>
      <c r="B63" s="36">
        <f t="shared" si="3"/>
        <v>0</v>
      </c>
      <c r="C63" s="42">
        <f>'[1]2100'!$L42</f>
        <v>0</v>
      </c>
      <c r="D63" s="42">
        <f>'[2]2100'!$L42</f>
        <v>0</v>
      </c>
      <c r="E63" s="42">
        <f>'[3]2100'!$L42</f>
        <v>0</v>
      </c>
      <c r="F63" s="42">
        <f>'[4]2100'!$L42</f>
        <v>0</v>
      </c>
      <c r="G63" s="42">
        <f>'[5]2100'!$L42</f>
        <v>0</v>
      </c>
      <c r="H63" s="42">
        <f>'[6]2100'!$L42</f>
        <v>0</v>
      </c>
      <c r="I63" s="42">
        <f>'[7]2100'!$L42</f>
        <v>0</v>
      </c>
      <c r="J63" s="31"/>
    </row>
    <row r="64" spans="1:11" s="32" customFormat="1" ht="18" customHeight="1">
      <c r="A64" s="62" t="s">
        <v>183</v>
      </c>
      <c r="B64" s="36">
        <f t="shared" si="3"/>
        <v>0</v>
      </c>
      <c r="C64" s="42">
        <f>'[1]2100'!$L43</f>
        <v>0</v>
      </c>
      <c r="D64" s="42">
        <f>'[2]2100'!$L43</f>
        <v>0</v>
      </c>
      <c r="E64" s="42">
        <f>'[3]2100'!$L43</f>
        <v>0</v>
      </c>
      <c r="F64" s="42">
        <f>'[4]2100'!$L43</f>
        <v>0</v>
      </c>
      <c r="G64" s="42">
        <f>'[5]2100'!$L43</f>
        <v>0</v>
      </c>
      <c r="H64" s="42">
        <f>'[6]2100'!$L43</f>
        <v>0</v>
      </c>
      <c r="I64" s="42">
        <f>'[7]2100'!$L43</f>
        <v>0</v>
      </c>
      <c r="J64" s="31"/>
    </row>
    <row r="65" spans="1:14" s="32" customFormat="1" ht="18" customHeight="1">
      <c r="A65" s="62" t="s">
        <v>184</v>
      </c>
      <c r="B65" s="36">
        <f t="shared" si="3"/>
        <v>0</v>
      </c>
      <c r="C65" s="42">
        <f>'[1]2100'!$L44</f>
        <v>0</v>
      </c>
      <c r="D65" s="42">
        <f>'[2]2100'!$L44</f>
        <v>0</v>
      </c>
      <c r="E65" s="42">
        <f>'[3]2100'!$L44</f>
        <v>0</v>
      </c>
      <c r="F65" s="42">
        <f>'[4]2100'!$L44</f>
        <v>0</v>
      </c>
      <c r="G65" s="42">
        <f>'[5]2100'!$L44</f>
        <v>0</v>
      </c>
      <c r="H65" s="42">
        <f>'[6]2100'!$L44</f>
        <v>0</v>
      </c>
      <c r="I65" s="42">
        <f>'[7]2100'!$L44</f>
        <v>0</v>
      </c>
      <c r="J65" s="3"/>
    </row>
    <row r="66" spans="1:14" ht="18" customHeight="1">
      <c r="A66" s="31" t="s">
        <v>426</v>
      </c>
      <c r="B66" s="36">
        <f t="shared" si="3"/>
        <v>-2897449.18</v>
      </c>
      <c r="C66" s="42">
        <f>-'[1]2100'!$D26</f>
        <v>-2876228.17</v>
      </c>
      <c r="D66" s="42">
        <f>-'[2]2100'!$D26</f>
        <v>-202.29</v>
      </c>
      <c r="E66" s="42">
        <f>-'[3]2100'!$D26</f>
        <v>0</v>
      </c>
      <c r="F66" s="42">
        <f>-'[4]2100'!$D26</f>
        <v>0</v>
      </c>
      <c r="G66" s="42">
        <f>-'[5]2100'!$D26</f>
        <v>-21018.720000000001</v>
      </c>
      <c r="H66" s="42">
        <f>-'[6]2100'!$D26</f>
        <v>0</v>
      </c>
      <c r="I66" s="42">
        <f>-'[7]2100'!$D26</f>
        <v>0</v>
      </c>
      <c r="K66" s="32"/>
      <c r="L66" s="32"/>
      <c r="M66" s="32"/>
      <c r="N66" s="32"/>
    </row>
    <row r="67" spans="1:14" ht="18" customHeight="1">
      <c r="A67" s="62" t="s">
        <v>185</v>
      </c>
      <c r="B67" s="36">
        <f t="shared" si="3"/>
        <v>-202.29</v>
      </c>
      <c r="C67" s="42">
        <f>-'[1]2100'!$D27</f>
        <v>0</v>
      </c>
      <c r="D67" s="42">
        <f>-'[2]2100'!$D27</f>
        <v>-202.29</v>
      </c>
      <c r="E67" s="42">
        <f>-'[3]2100'!$D27</f>
        <v>0</v>
      </c>
      <c r="F67" s="42">
        <f>-'[4]2100'!$D27</f>
        <v>0</v>
      </c>
      <c r="G67" s="42">
        <f>-'[5]2100'!$D27</f>
        <v>0</v>
      </c>
      <c r="H67" s="42">
        <f>-'[6]2100'!$D27</f>
        <v>0</v>
      </c>
      <c r="I67" s="42">
        <f>-'[7]2100'!$D27</f>
        <v>0</v>
      </c>
      <c r="K67" s="32"/>
      <c r="L67" s="32"/>
      <c r="M67" s="32"/>
      <c r="N67" s="32"/>
    </row>
    <row r="68" spans="1:14" ht="18" customHeight="1">
      <c r="A68" s="62" t="s">
        <v>186</v>
      </c>
      <c r="B68" s="36">
        <f t="shared" si="3"/>
        <v>0</v>
      </c>
      <c r="C68" s="42">
        <f>-'[1]2100'!$D28</f>
        <v>0</v>
      </c>
      <c r="D68" s="42">
        <f>-'[2]2100'!$D28</f>
        <v>0</v>
      </c>
      <c r="E68" s="42">
        <f>-'[3]2100'!$D28</f>
        <v>0</v>
      </c>
      <c r="F68" s="42">
        <f>-'[4]2100'!$D28</f>
        <v>0</v>
      </c>
      <c r="G68" s="42">
        <f>-'[5]2100'!$D28</f>
        <v>0</v>
      </c>
      <c r="H68" s="42">
        <f>-'[6]2100'!$D28</f>
        <v>0</v>
      </c>
      <c r="I68" s="42">
        <f>-'[7]2100'!$D28</f>
        <v>0</v>
      </c>
      <c r="K68" s="32"/>
      <c r="L68" s="32"/>
      <c r="M68" s="32"/>
      <c r="N68" s="32"/>
    </row>
    <row r="69" spans="1:14" ht="18" customHeight="1">
      <c r="A69" s="62" t="s">
        <v>187</v>
      </c>
      <c r="B69" s="36">
        <f t="shared" si="3"/>
        <v>-4808.1000000000004</v>
      </c>
      <c r="C69" s="42">
        <f>-'[1]2100'!$D29</f>
        <v>0</v>
      </c>
      <c r="D69" s="42">
        <f>-'[2]2100'!$D29</f>
        <v>0</v>
      </c>
      <c r="E69" s="42">
        <f>-'[3]2100'!$D29</f>
        <v>0</v>
      </c>
      <c r="F69" s="42">
        <f>-'[4]2100'!$D29</f>
        <v>0</v>
      </c>
      <c r="G69" s="42">
        <f>-'[5]2100'!$D29</f>
        <v>-4808.1000000000004</v>
      </c>
      <c r="H69" s="42">
        <f>-'[6]2100'!$D29</f>
        <v>0</v>
      </c>
      <c r="I69" s="42">
        <f>-'[7]2100'!$D29</f>
        <v>0</v>
      </c>
      <c r="K69" s="32"/>
      <c r="L69" s="32"/>
      <c r="M69" s="32"/>
      <c r="N69" s="32"/>
    </row>
    <row r="70" spans="1:14" ht="18" customHeight="1">
      <c r="A70" s="62" t="s">
        <v>188</v>
      </c>
      <c r="B70" s="36">
        <f t="shared" si="3"/>
        <v>-2892438.79</v>
      </c>
      <c r="C70" s="42">
        <f>-'[1]2100'!$D30</f>
        <v>-2876228.17</v>
      </c>
      <c r="D70" s="42">
        <f>-'[2]2100'!$D30</f>
        <v>0</v>
      </c>
      <c r="E70" s="42">
        <f>-'[3]2100'!$D30</f>
        <v>0</v>
      </c>
      <c r="F70" s="42">
        <f>-'[4]2100'!$D30</f>
        <v>0</v>
      </c>
      <c r="G70" s="42">
        <f>-'[5]2100'!$D30</f>
        <v>-16210.62</v>
      </c>
      <c r="H70" s="42">
        <f>-'[6]2100'!$D30</f>
        <v>0</v>
      </c>
      <c r="I70" s="42">
        <f>-'[7]2100'!$D30</f>
        <v>0</v>
      </c>
      <c r="J70" s="26"/>
      <c r="K70" s="32"/>
      <c r="L70" s="32"/>
      <c r="M70" s="32"/>
      <c r="N70" s="32"/>
    </row>
    <row r="71" spans="1:14" ht="18" customHeight="1">
      <c r="A71" s="211" t="s">
        <v>427</v>
      </c>
      <c r="B71" s="212">
        <f t="shared" si="3"/>
        <v>-1679338.1900000023</v>
      </c>
      <c r="C71" s="42">
        <f t="shared" ref="C71:I71" si="7">C60+C61+C66</f>
        <v>-1630173.58</v>
      </c>
      <c r="D71" s="42">
        <f t="shared" si="7"/>
        <v>309243.52999999846</v>
      </c>
      <c r="E71" s="42">
        <f t="shared" si="7"/>
        <v>-293057.16999999993</v>
      </c>
      <c r="F71" s="42">
        <f t="shared" si="7"/>
        <v>-1177.160000000149</v>
      </c>
      <c r="G71" s="42">
        <f>G60+G61+G66</f>
        <v>11779.009999999864</v>
      </c>
      <c r="H71" s="42">
        <f t="shared" si="7"/>
        <v>-8972.5800000000745</v>
      </c>
      <c r="I71" s="42">
        <f t="shared" si="7"/>
        <v>-66980.240000000224</v>
      </c>
      <c r="K71" s="32"/>
      <c r="L71" s="32"/>
      <c r="M71" s="32"/>
      <c r="N71" s="32"/>
    </row>
    <row r="72" spans="1:14" ht="18" customHeight="1">
      <c r="A72" s="31" t="s">
        <v>428</v>
      </c>
      <c r="B72" s="36">
        <f t="shared" si="3"/>
        <v>0</v>
      </c>
      <c r="C72" s="42">
        <f>'[1]2100'!$L$29+'[1]2100'!$L$30</f>
        <v>0</v>
      </c>
      <c r="D72" s="42">
        <f>'[2]2100'!$L$29+'[2]2100'!$L$30</f>
        <v>0</v>
      </c>
      <c r="E72" s="42">
        <f>'[3]2100'!$L$29+'[3]2100'!$L$30</f>
        <v>0</v>
      </c>
      <c r="F72" s="42">
        <f>'[4]2100'!$L$29+'[4]2100'!$L$30</f>
        <v>0</v>
      </c>
      <c r="G72" s="42">
        <f>'[5]2100'!$L$29+'[5]2100'!$L$30</f>
        <v>0</v>
      </c>
      <c r="H72" s="42">
        <f>'[6]2100'!$L$29+'[6]2100'!$L$30</f>
        <v>0</v>
      </c>
      <c r="I72" s="42">
        <f>'[7]2100'!$L$29+'[7]2100'!$L$30</f>
        <v>0</v>
      </c>
    </row>
    <row r="73" spans="1:14" ht="18" customHeight="1">
      <c r="A73" s="31" t="s">
        <v>429</v>
      </c>
      <c r="B73" s="36">
        <f t="shared" si="3"/>
        <v>3599.29</v>
      </c>
      <c r="C73" s="42">
        <f>+'[1]2100'!$L$31</f>
        <v>67.67</v>
      </c>
      <c r="D73" s="42">
        <f>+'[2]2100'!$L$31</f>
        <v>0</v>
      </c>
      <c r="E73" s="42">
        <f>+'[3]2100'!$L$31</f>
        <v>2100</v>
      </c>
      <c r="F73" s="42">
        <f>+'[4]2100'!$L$31</f>
        <v>0</v>
      </c>
      <c r="G73" s="42">
        <f>+'[5]2100'!$L$31</f>
        <v>0</v>
      </c>
      <c r="H73" s="42">
        <f>+'[6]2100'!$L$31</f>
        <v>0</v>
      </c>
      <c r="I73" s="42">
        <f>+'[7]2100'!$L$31</f>
        <v>1431.62</v>
      </c>
    </row>
    <row r="74" spans="1:14" ht="18" customHeight="1">
      <c r="A74" s="31" t="s">
        <v>430</v>
      </c>
      <c r="B74" s="36">
        <f t="shared" si="3"/>
        <v>-1743.6200000000001</v>
      </c>
      <c r="C74" s="42">
        <f>-'[1]2100'!$D$16</f>
        <v>-1066.9100000000001</v>
      </c>
      <c r="D74" s="42">
        <f>-'[2]2100'!$D$16</f>
        <v>-384.22</v>
      </c>
      <c r="E74" s="42">
        <f>-'[3]2100'!$D$16</f>
        <v>0</v>
      </c>
      <c r="F74" s="42">
        <f>-'[4]2100'!$D$16</f>
        <v>-17.27</v>
      </c>
      <c r="G74" s="42">
        <f>-'[5]2100'!$D$16</f>
        <v>-275.22000000000003</v>
      </c>
      <c r="H74" s="42">
        <f>-'[6]2100'!$D$16</f>
        <v>0</v>
      </c>
      <c r="I74" s="42">
        <f>-'[7]2100'!$D$16</f>
        <v>0</v>
      </c>
    </row>
    <row r="75" spans="1:14" ht="18" customHeight="1">
      <c r="A75" s="31" t="s">
        <v>431</v>
      </c>
      <c r="B75" s="36">
        <f t="shared" si="3"/>
        <v>0</v>
      </c>
      <c r="C75" s="42">
        <f>-'[1]2100'!$D$19</f>
        <v>0</v>
      </c>
      <c r="D75" s="42">
        <f>-'[2]2100'!$D$19</f>
        <v>0</v>
      </c>
      <c r="E75" s="42">
        <f>-'[3]2100'!$D$19</f>
        <v>0</v>
      </c>
      <c r="F75" s="42">
        <f>-'[4]2100'!$D$19</f>
        <v>0</v>
      </c>
      <c r="G75" s="42">
        <f>-'[5]2100'!$D$19</f>
        <v>0</v>
      </c>
      <c r="H75" s="42">
        <f>-'[6]2100'!$D$19</f>
        <v>0</v>
      </c>
      <c r="I75" s="42">
        <f>-'[7]2100'!$D$19</f>
        <v>0</v>
      </c>
    </row>
    <row r="76" spans="1:14" ht="18" customHeight="1">
      <c r="A76" s="31" t="s">
        <v>432</v>
      </c>
      <c r="B76" s="36">
        <f t="shared" si="3"/>
        <v>0</v>
      </c>
      <c r="C76" s="42">
        <f>'[1]2100'!$L$34-'[1]2100'!$D$20</f>
        <v>0</v>
      </c>
      <c r="D76" s="42">
        <f>'[2]2100'!$L$34-'[2]2100'!$D$20</f>
        <v>0</v>
      </c>
      <c r="E76" s="42">
        <f>'[3]2100'!$L$34-'[3]2100'!$D$20</f>
        <v>0</v>
      </c>
      <c r="F76" s="42">
        <f>'[4]2100'!$L$34-'[4]2100'!$D$20</f>
        <v>0</v>
      </c>
      <c r="G76" s="42">
        <f>'[5]2100'!$L$34-'[5]2100'!$D$20</f>
        <v>0</v>
      </c>
      <c r="H76" s="42">
        <f>'[6]2100'!$L$34-'[6]2100'!$D$20</f>
        <v>0</v>
      </c>
      <c r="I76" s="42">
        <f>'[7]2100'!$L$34-'[7]2100'!$D$20</f>
        <v>0</v>
      </c>
      <c r="K76" s="26"/>
      <c r="M76" s="26"/>
    </row>
    <row r="77" spans="1:14" ht="18" customHeight="1">
      <c r="A77" s="211" t="s">
        <v>433</v>
      </c>
      <c r="B77" s="212">
        <f t="shared" si="3"/>
        <v>1855.6699999999998</v>
      </c>
      <c r="C77" s="42">
        <f t="shared" ref="C77:I77" si="8">SUM(C72:C76)</f>
        <v>-999.24000000000012</v>
      </c>
      <c r="D77" s="42">
        <f t="shared" si="8"/>
        <v>-384.22</v>
      </c>
      <c r="E77" s="42">
        <f t="shared" si="8"/>
        <v>2100</v>
      </c>
      <c r="F77" s="42">
        <f t="shared" si="8"/>
        <v>-17.27</v>
      </c>
      <c r="G77" s="42">
        <f>SUM(G72:G76)</f>
        <v>-275.22000000000003</v>
      </c>
      <c r="H77" s="42">
        <f t="shared" si="8"/>
        <v>0</v>
      </c>
      <c r="I77" s="42">
        <f t="shared" si="8"/>
        <v>1431.62</v>
      </c>
    </row>
    <row r="78" spans="1:14" ht="18" customHeight="1">
      <c r="A78" s="211" t="s">
        <v>485</v>
      </c>
      <c r="B78" s="212">
        <f>SUM(C78:I78)</f>
        <v>-1677482.5200000023</v>
      </c>
      <c r="C78" s="42">
        <f t="shared" ref="C78:I78" si="9">C71+C77</f>
        <v>-1631172.82</v>
      </c>
      <c r="D78" s="42">
        <f t="shared" si="9"/>
        <v>308859.30999999848</v>
      </c>
      <c r="E78" s="42">
        <f t="shared" si="9"/>
        <v>-290957.16999999993</v>
      </c>
      <c r="F78" s="42">
        <f t="shared" si="9"/>
        <v>-1194.430000000149</v>
      </c>
      <c r="G78" s="42">
        <f>G71+G77</f>
        <v>11503.789999999864</v>
      </c>
      <c r="H78" s="42">
        <f t="shared" si="9"/>
        <v>-8972.5800000000745</v>
      </c>
      <c r="I78" s="42">
        <f t="shared" si="9"/>
        <v>-65548.620000000228</v>
      </c>
    </row>
    <row r="79" spans="1:14" ht="18" customHeight="1">
      <c r="A79" s="60"/>
      <c r="B79" s="33"/>
      <c r="C79" s="42"/>
      <c r="D79" s="42"/>
      <c r="E79" s="42"/>
      <c r="F79" s="42"/>
      <c r="G79" s="42"/>
      <c r="H79" s="42"/>
      <c r="I79" s="42"/>
    </row>
    <row r="80" spans="1:14" ht="18" customHeight="1">
      <c r="A80" s="55" t="s">
        <v>34</v>
      </c>
      <c r="B80" s="56"/>
      <c r="C80" s="42"/>
      <c r="D80" s="42"/>
      <c r="E80" s="42"/>
      <c r="F80" s="42"/>
      <c r="G80" s="42"/>
      <c r="H80" s="42"/>
      <c r="I80" s="42"/>
    </row>
    <row r="81" spans="1:10" ht="15.75">
      <c r="A81" s="31" t="s">
        <v>434</v>
      </c>
      <c r="B81" s="36">
        <f>SUM(C81:I81)</f>
        <v>0</v>
      </c>
      <c r="C81" s="42"/>
      <c r="D81" s="42"/>
      <c r="E81" s="42"/>
      <c r="F81" s="42"/>
      <c r="G81" s="42"/>
      <c r="H81" s="42"/>
      <c r="I81" s="42"/>
    </row>
    <row r="82" spans="1:10" ht="16.5" thickBot="1">
      <c r="A82" s="213" t="s">
        <v>435</v>
      </c>
      <c r="B82" s="214">
        <f>SUM(C82:I82)</f>
        <v>-1677482.5200000023</v>
      </c>
      <c r="C82" s="69">
        <f t="shared" ref="C82:I82" si="10">C78+C81</f>
        <v>-1631172.82</v>
      </c>
      <c r="D82" s="69">
        <f t="shared" si="10"/>
        <v>308859.30999999848</v>
      </c>
      <c r="E82" s="69">
        <f t="shared" si="10"/>
        <v>-290957.16999999993</v>
      </c>
      <c r="F82" s="69">
        <f t="shared" si="10"/>
        <v>-1194.430000000149</v>
      </c>
      <c r="G82" s="69">
        <f t="shared" si="10"/>
        <v>11503.789999999864</v>
      </c>
      <c r="H82" s="69">
        <f t="shared" si="10"/>
        <v>-8972.5800000000745</v>
      </c>
      <c r="I82" s="69">
        <f t="shared" si="10"/>
        <v>-65548.620000000228</v>
      </c>
    </row>
    <row r="83" spans="1:10" ht="15.75">
      <c r="A83" s="60"/>
      <c r="B83" s="33"/>
      <c r="C83" s="33"/>
      <c r="D83" s="33"/>
      <c r="E83" s="33"/>
      <c r="F83" s="33"/>
      <c r="G83" s="33"/>
      <c r="H83" s="33"/>
      <c r="I83" s="33"/>
    </row>
    <row r="84" spans="1:10" ht="15.75">
      <c r="A84" s="32" t="s">
        <v>460</v>
      </c>
      <c r="C84" s="33"/>
      <c r="D84" s="33"/>
      <c r="E84" s="33"/>
      <c r="F84" s="33"/>
      <c r="G84" s="33"/>
      <c r="H84" s="33"/>
      <c r="I84" s="33"/>
    </row>
    <row r="85" spans="1:10" ht="15.75">
      <c r="A85" s="32" t="s">
        <v>461</v>
      </c>
    </row>
    <row r="86" spans="1:10" ht="15.75">
      <c r="A86" s="32"/>
    </row>
    <row r="87" spans="1:10" ht="15.75">
      <c r="A87" s="60" t="s">
        <v>458</v>
      </c>
    </row>
    <row r="88" spans="1:10" ht="15.75">
      <c r="A88" s="31" t="s">
        <v>459</v>
      </c>
    </row>
    <row r="89" spans="1:10">
      <c r="J89" s="17"/>
    </row>
    <row r="90" spans="1:10">
      <c r="J90" s="17"/>
    </row>
  </sheetData>
  <phoneticPr fontId="1"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F186"/>
  <sheetViews>
    <sheetView zoomScale="75" workbookViewId="0">
      <selection activeCell="B1" sqref="B1"/>
    </sheetView>
  </sheetViews>
  <sheetFormatPr baseColWidth="10" defaultColWidth="11.42578125" defaultRowHeight="12.75"/>
  <cols>
    <col min="1" max="1" width="3.42578125" style="61" customWidth="1"/>
    <col min="2" max="2" width="39.140625" style="3" customWidth="1"/>
    <col min="3" max="5" width="18" style="3" customWidth="1"/>
    <col min="6" max="6" width="19.7109375" style="3" customWidth="1"/>
    <col min="7" max="7" width="19.140625" style="3" customWidth="1"/>
    <col min="8" max="8" width="6.28515625" style="3" customWidth="1"/>
    <col min="9" max="9" width="10.5703125" style="3" customWidth="1"/>
    <col min="10" max="10" width="18" style="3" customWidth="1"/>
    <col min="11" max="11" width="8.28515625" style="3" bestFit="1" customWidth="1"/>
    <col min="12" max="13" width="18" style="3" customWidth="1"/>
    <col min="14" max="18" width="11.42578125" style="3"/>
    <col min="19" max="19" width="73.140625" style="3" bestFit="1" customWidth="1"/>
    <col min="20" max="20" width="11.42578125" style="3"/>
    <col min="21" max="24" width="19.140625" style="3" customWidth="1"/>
    <col min="25" max="25" width="21" style="3" customWidth="1"/>
    <col min="26" max="28" width="19.140625" style="3" customWidth="1"/>
    <col min="29" max="16384" width="11.42578125" style="3"/>
  </cols>
  <sheetData>
    <row r="1" spans="1:214" s="2" customFormat="1" ht="60" customHeight="1">
      <c r="A1" s="5"/>
      <c r="B1" s="6"/>
      <c r="C1" s="9"/>
      <c r="D1" s="9"/>
      <c r="E1" s="9"/>
      <c r="F1" s="9"/>
      <c r="G1" s="9"/>
      <c r="H1" s="9"/>
      <c r="I1" s="9"/>
      <c r="J1" s="9"/>
      <c r="K1" s="6"/>
      <c r="L1" s="7" t="s">
        <v>11</v>
      </c>
      <c r="M1" s="8">
        <f>Balance!N1</f>
        <v>2016</v>
      </c>
      <c r="N1" s="45"/>
      <c r="O1" s="45"/>
      <c r="P1" s="45"/>
      <c r="Q1" s="45"/>
      <c r="R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row>
    <row r="2" spans="1:214" s="2" customFormat="1" ht="12.95" customHeight="1" thickBot="1">
      <c r="A2" s="5"/>
      <c r="B2" s="6"/>
      <c r="C2" s="9"/>
      <c r="D2" s="9"/>
      <c r="E2" s="9"/>
      <c r="F2" s="9"/>
      <c r="G2" s="9"/>
      <c r="H2" s="9"/>
      <c r="I2" s="9"/>
      <c r="J2" s="9"/>
      <c r="K2" s="6"/>
      <c r="L2" s="7"/>
      <c r="M2" s="87"/>
      <c r="N2" s="45"/>
      <c r="O2" s="45"/>
      <c r="P2" s="45"/>
      <c r="Q2" s="45"/>
      <c r="R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row>
    <row r="3" spans="1:214" s="2" customFormat="1" ht="33" customHeight="1">
      <c r="A3" s="70" t="str">
        <f>"                                            "&amp;"LES CORTS Y RESTO DE INSTITUCIONES DE LA GENERALITAT"</f>
        <v xml:space="preserve">                                            LES CORTS Y RESTO DE INSTITUCIONES DE LA GENERALITAT</v>
      </c>
      <c r="B3" s="10"/>
      <c r="C3" s="10"/>
      <c r="D3" s="10"/>
      <c r="E3" s="10"/>
      <c r="F3" s="10"/>
      <c r="G3" s="10"/>
      <c r="H3" s="10"/>
      <c r="I3" s="10"/>
      <c r="J3" s="11"/>
      <c r="K3" s="11"/>
      <c r="L3" s="12"/>
      <c r="M3" s="13"/>
      <c r="N3" s="15"/>
      <c r="O3" s="15"/>
      <c r="P3" s="15"/>
      <c r="Q3" s="15"/>
      <c r="R3" s="1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row>
    <row r="4" spans="1:214" s="2" customFormat="1" ht="20.100000000000001" customHeight="1">
      <c r="A4" s="14" t="s">
        <v>35</v>
      </c>
      <c r="B4" s="15"/>
      <c r="C4" s="15"/>
      <c r="D4" s="15"/>
      <c r="E4" s="15"/>
      <c r="F4" s="15"/>
      <c r="G4" s="15"/>
      <c r="H4" s="15"/>
      <c r="I4" s="15"/>
      <c r="J4" s="14"/>
      <c r="K4" s="14"/>
      <c r="L4" s="16"/>
      <c r="M4" s="17"/>
      <c r="N4" s="15"/>
      <c r="O4" s="15"/>
      <c r="P4" s="15"/>
      <c r="Q4" s="15"/>
      <c r="R4" s="15"/>
      <c r="AC4" s="49"/>
      <c r="AD4" s="49"/>
      <c r="AE4" s="49"/>
      <c r="AF4" s="49"/>
      <c r="AG4" s="49"/>
      <c r="AH4" s="49"/>
      <c r="AI4" s="49"/>
      <c r="AJ4" s="49"/>
      <c r="AK4" s="49"/>
      <c r="AL4" s="49"/>
      <c r="AM4" s="49"/>
      <c r="AN4" s="49"/>
      <c r="AO4" s="49"/>
      <c r="AP4" s="49"/>
      <c r="AQ4" s="49"/>
      <c r="AR4" s="49"/>
      <c r="AS4" s="49"/>
      <c r="AT4" s="49"/>
      <c r="AU4" s="49"/>
      <c r="AV4" s="49"/>
      <c r="AW4" s="49"/>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row>
    <row r="5" spans="1:214" s="2" customFormat="1" ht="18" customHeight="1" thickBot="1">
      <c r="A5" s="18"/>
      <c r="B5" s="19"/>
      <c r="C5" s="19"/>
      <c r="D5" s="19"/>
      <c r="E5" s="19"/>
      <c r="F5" s="19"/>
      <c r="G5" s="19"/>
      <c r="H5" s="19"/>
      <c r="I5" s="19"/>
      <c r="J5" s="71" t="str">
        <f>"Población a 01/01/"</f>
        <v>Población a 01/01/</v>
      </c>
      <c r="K5" s="149">
        <f>M1</f>
        <v>2016</v>
      </c>
      <c r="L5" s="71"/>
      <c r="M5" s="73">
        <f>Balance!M5</f>
        <v>4959968</v>
      </c>
      <c r="N5" s="21"/>
      <c r="O5" s="21"/>
      <c r="P5" s="21"/>
      <c r="Q5" s="21"/>
      <c r="R5" s="21"/>
      <c r="AC5" s="49"/>
      <c r="AD5" s="49"/>
      <c r="AE5" s="49"/>
      <c r="AF5" s="49"/>
      <c r="AG5" s="49"/>
      <c r="AH5" s="49"/>
      <c r="AI5" s="49"/>
      <c r="AJ5" s="49"/>
      <c r="AK5" s="49"/>
      <c r="AL5" s="49"/>
      <c r="AM5" s="49"/>
      <c r="AN5" s="49"/>
      <c r="AO5" s="49"/>
      <c r="AP5" s="49"/>
      <c r="AQ5" s="49"/>
      <c r="AR5" s="49"/>
      <c r="AS5" s="49"/>
      <c r="AT5" s="49"/>
      <c r="AU5" s="49"/>
      <c r="AV5" s="49"/>
      <c r="AW5" s="49"/>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row>
    <row r="6" spans="1:214" s="2" customFormat="1" ht="12.95" customHeight="1">
      <c r="A6" s="91"/>
      <c r="B6" s="92"/>
      <c r="D6" s="92"/>
      <c r="E6" s="92"/>
      <c r="F6" s="92"/>
      <c r="G6" s="92"/>
      <c r="H6" s="92"/>
      <c r="I6" s="92"/>
      <c r="J6" s="93"/>
      <c r="K6" s="93"/>
      <c r="L6" s="93"/>
      <c r="M6" s="94"/>
      <c r="N6" s="49"/>
      <c r="O6" s="49"/>
      <c r="P6" s="49"/>
      <c r="Q6" s="49"/>
      <c r="R6" s="49"/>
      <c r="AC6" s="49"/>
      <c r="AD6" s="49"/>
      <c r="AE6" s="49"/>
      <c r="AF6" s="49"/>
      <c r="AG6" s="49"/>
      <c r="AH6" s="49"/>
      <c r="AI6" s="49"/>
      <c r="AJ6" s="49"/>
      <c r="AK6" s="49"/>
      <c r="AL6" s="49"/>
      <c r="AM6" s="49"/>
      <c r="AN6" s="49"/>
      <c r="AO6" s="49"/>
      <c r="AP6" s="49"/>
      <c r="AQ6" s="49"/>
      <c r="AR6" s="49"/>
      <c r="AS6" s="49"/>
      <c r="AT6" s="49"/>
      <c r="AU6" s="49"/>
      <c r="AV6" s="49"/>
      <c r="AW6" s="49"/>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row>
    <row r="7" spans="1:214" s="2" customFormat="1" ht="12.95" customHeight="1">
      <c r="A7" s="95"/>
      <c r="B7" s="95"/>
      <c r="C7" s="95"/>
      <c r="D7" s="95"/>
      <c r="E7" s="95"/>
      <c r="F7" s="96"/>
      <c r="G7" s="96"/>
      <c r="H7" s="95"/>
      <c r="I7" s="95"/>
      <c r="J7" s="95"/>
      <c r="K7" s="95"/>
      <c r="L7" s="95"/>
      <c r="M7" s="95"/>
      <c r="N7" s="45"/>
      <c r="O7" s="45"/>
      <c r="P7" s="45"/>
      <c r="Q7" s="45"/>
      <c r="R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row>
    <row r="8" spans="1:214" s="2" customFormat="1" ht="21" customHeight="1">
      <c r="A8" s="97" t="s">
        <v>274</v>
      </c>
      <c r="B8" s="95"/>
      <c r="C8" s="95"/>
      <c r="D8" s="95"/>
      <c r="E8" s="95"/>
      <c r="F8" s="96"/>
      <c r="G8" s="96"/>
      <c r="H8" s="95"/>
      <c r="I8" s="95"/>
      <c r="J8" s="95"/>
      <c r="K8" s="95"/>
      <c r="L8" s="95"/>
      <c r="M8" s="95"/>
      <c r="N8" s="45"/>
      <c r="O8" s="45"/>
      <c r="P8" s="45"/>
      <c r="Q8" s="45"/>
      <c r="R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row>
    <row r="9" spans="1:214" s="2" customFormat="1" ht="18" customHeight="1">
      <c r="A9" s="24"/>
      <c r="B9" s="95"/>
      <c r="C9" s="95"/>
      <c r="D9" s="95"/>
      <c r="E9" s="95"/>
      <c r="F9" s="96"/>
      <c r="G9" s="96"/>
      <c r="H9" s="95"/>
      <c r="I9" s="95"/>
      <c r="J9" s="95"/>
      <c r="K9" s="95"/>
      <c r="L9" s="95"/>
      <c r="M9" s="95"/>
      <c r="N9" s="45"/>
      <c r="O9" s="45"/>
      <c r="P9" s="45"/>
      <c r="Q9" s="45"/>
      <c r="R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row>
    <row r="10" spans="1:214" s="2" customFormat="1" ht="12.95" customHeight="1">
      <c r="A10" s="113"/>
      <c r="B10" s="95"/>
      <c r="C10" s="95"/>
      <c r="D10" s="95"/>
      <c r="E10" s="95"/>
      <c r="F10" s="96"/>
      <c r="G10" s="96"/>
      <c r="H10" s="95"/>
      <c r="I10" s="95"/>
      <c r="J10" s="95"/>
      <c r="K10" s="95"/>
      <c r="L10" s="95"/>
      <c r="M10" s="95"/>
      <c r="N10" s="45"/>
      <c r="O10" s="45"/>
      <c r="P10" s="45"/>
      <c r="Q10" s="45"/>
      <c r="R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row>
    <row r="11" spans="1:214" s="2" customFormat="1" ht="18" customHeight="1" thickBot="1">
      <c r="A11" s="45" t="s">
        <v>12</v>
      </c>
      <c r="B11" s="95"/>
      <c r="C11" s="95"/>
      <c r="D11" s="95"/>
      <c r="E11" s="95"/>
      <c r="F11" s="96"/>
      <c r="G11" s="96"/>
      <c r="H11" s="95"/>
      <c r="I11" s="95"/>
      <c r="J11" s="95"/>
      <c r="K11" s="95"/>
      <c r="L11" s="95"/>
      <c r="M11" s="202">
        <f>M1</f>
        <v>2016</v>
      </c>
      <c r="N11" s="45"/>
      <c r="O11" s="45"/>
      <c r="P11" s="45"/>
      <c r="Q11" s="45"/>
      <c r="R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row>
    <row r="12" spans="1:214" s="2" customFormat="1" ht="33" customHeight="1">
      <c r="A12" s="246" t="s">
        <v>416</v>
      </c>
      <c r="B12" s="246"/>
      <c r="C12" s="114"/>
      <c r="D12" s="115"/>
      <c r="E12" s="115"/>
      <c r="F12" s="245"/>
      <c r="G12" s="245"/>
      <c r="H12" s="245"/>
      <c r="I12" s="245"/>
      <c r="J12" s="245"/>
      <c r="K12" s="245"/>
      <c r="L12" s="245"/>
      <c r="M12" s="245"/>
      <c r="N12" s="45"/>
      <c r="O12" s="45"/>
      <c r="P12" s="45"/>
      <c r="Q12" s="45"/>
      <c r="R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row>
    <row r="13" spans="1:214" s="2" customFormat="1" ht="18" customHeight="1">
      <c r="A13" s="116"/>
      <c r="B13" s="116"/>
      <c r="C13" s="236" t="s">
        <v>189</v>
      </c>
      <c r="D13" s="237"/>
      <c r="E13" s="238"/>
      <c r="F13" s="236" t="s">
        <v>190</v>
      </c>
      <c r="G13" s="237"/>
      <c r="H13" s="237"/>
      <c r="I13" s="237"/>
      <c r="J13" s="237"/>
      <c r="K13" s="237"/>
      <c r="L13" s="237"/>
      <c r="M13" s="238"/>
      <c r="N13" s="45"/>
      <c r="O13" s="45"/>
      <c r="P13" s="45"/>
      <c r="Q13" s="45"/>
      <c r="R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row>
    <row r="14" spans="1:214" s="2" customFormat="1" ht="18" customHeight="1">
      <c r="F14" s="133" t="s">
        <v>442</v>
      </c>
      <c r="G14" s="133" t="s">
        <v>443</v>
      </c>
      <c r="L14" s="133" t="s">
        <v>443</v>
      </c>
      <c r="M14" s="133" t="s">
        <v>444</v>
      </c>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row>
    <row r="15" spans="1:214" s="2" customFormat="1" ht="18" customHeight="1">
      <c r="A15" s="197" t="s">
        <v>191</v>
      </c>
      <c r="B15" s="197"/>
      <c r="C15" s="117" t="s">
        <v>192</v>
      </c>
      <c r="D15" s="117" t="s">
        <v>193</v>
      </c>
      <c r="E15" s="117" t="s">
        <v>194</v>
      </c>
      <c r="F15" s="117" t="s">
        <v>445</v>
      </c>
      <c r="G15" s="117" t="s">
        <v>446</v>
      </c>
      <c r="H15" s="117" t="s">
        <v>195</v>
      </c>
      <c r="I15" s="117" t="s">
        <v>196</v>
      </c>
      <c r="J15" s="117" t="s">
        <v>197</v>
      </c>
      <c r="K15" s="117" t="s">
        <v>198</v>
      </c>
      <c r="L15" s="117" t="s">
        <v>199</v>
      </c>
      <c r="M15" s="117" t="s">
        <v>447</v>
      </c>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row>
    <row r="16" spans="1:214" s="2" customFormat="1" ht="18" customHeight="1">
      <c r="A16" s="118" t="s">
        <v>200</v>
      </c>
      <c r="B16" s="31" t="s">
        <v>201</v>
      </c>
      <c r="C16" s="119">
        <f t="shared" ref="C16:E20" si="0">C92+C123</f>
        <v>31983989.57</v>
      </c>
      <c r="D16" s="119">
        <f t="shared" si="0"/>
        <v>875649.3600000001</v>
      </c>
      <c r="E16" s="119">
        <f t="shared" si="0"/>
        <v>32859638.93</v>
      </c>
      <c r="F16" s="119">
        <f>F92+F113</f>
        <v>29718256.349999998</v>
      </c>
      <c r="G16" s="119">
        <f>G92+G123</f>
        <v>28466156.879999999</v>
      </c>
      <c r="H16" s="121">
        <f t="shared" ref="H16:H25" si="1">IF($G$25=0,"    --",G16/$G$25*100)</f>
        <v>69.673585831914792</v>
      </c>
      <c r="I16" s="121">
        <f t="shared" ref="I16:I25" si="2">IF(G16=0,"    --",IF(E16=0,"    --",G16/E16*100))</f>
        <v>86.629548610198313</v>
      </c>
      <c r="J16" s="119">
        <f>I92+I123</f>
        <v>28415320.169999998</v>
      </c>
      <c r="K16" s="121">
        <f t="shared" ref="K16:K25" si="3">IF(G16=0,"    --",J16/G16*100)</f>
        <v>99.8214135114399</v>
      </c>
      <c r="L16" s="119">
        <f>J92+J123</f>
        <v>50836.710000000719</v>
      </c>
      <c r="M16" s="119">
        <f>H92+H123</f>
        <v>4393482.05</v>
      </c>
      <c r="N16" s="45"/>
      <c r="O16" s="45"/>
      <c r="P16" s="45"/>
      <c r="Q16" s="45"/>
      <c r="R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row>
    <row r="17" spans="1:132" s="2" customFormat="1" ht="18" customHeight="1">
      <c r="A17" s="118" t="s">
        <v>202</v>
      </c>
      <c r="B17" s="31" t="s">
        <v>203</v>
      </c>
      <c r="C17" s="119">
        <f t="shared" si="0"/>
        <v>8349991.1699999999</v>
      </c>
      <c r="D17" s="119">
        <f t="shared" si="0"/>
        <v>2026904.5300000003</v>
      </c>
      <c r="E17" s="119">
        <f t="shared" si="0"/>
        <v>10376895.700000001</v>
      </c>
      <c r="F17" s="119">
        <f>F93+F114</f>
        <v>7280435.7399999984</v>
      </c>
      <c r="G17" s="119">
        <f>G93+G124</f>
        <v>6681190.4899999993</v>
      </c>
      <c r="H17" s="121">
        <f t="shared" si="1"/>
        <v>16.352839655410058</v>
      </c>
      <c r="I17" s="121">
        <f t="shared" si="2"/>
        <v>64.385252421877951</v>
      </c>
      <c r="J17" s="119">
        <f>I93+I124</f>
        <v>6343003.2000000002</v>
      </c>
      <c r="K17" s="121">
        <f t="shared" si="3"/>
        <v>94.938218113879884</v>
      </c>
      <c r="L17" s="119">
        <f>J93+J124</f>
        <v>338187.29000000004</v>
      </c>
      <c r="M17" s="119">
        <f>H93+H124</f>
        <v>3695705.2100000009</v>
      </c>
      <c r="N17" s="45"/>
      <c r="O17" s="45"/>
      <c r="P17" s="45"/>
      <c r="Q17" s="45"/>
      <c r="R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row>
    <row r="18" spans="1:132" s="2" customFormat="1" ht="18" customHeight="1">
      <c r="A18" s="118" t="s">
        <v>204</v>
      </c>
      <c r="B18" s="31" t="s">
        <v>205</v>
      </c>
      <c r="C18" s="119">
        <f t="shared" si="0"/>
        <v>152280</v>
      </c>
      <c r="D18" s="119">
        <f t="shared" si="0"/>
        <v>38325.1</v>
      </c>
      <c r="E18" s="119">
        <f t="shared" si="0"/>
        <v>190605.1</v>
      </c>
      <c r="F18" s="119">
        <f>F94+F115</f>
        <v>2626.56</v>
      </c>
      <c r="G18" s="119">
        <f>G94+G125</f>
        <v>2626.56</v>
      </c>
      <c r="H18" s="121">
        <f t="shared" si="1"/>
        <v>6.4287516707690583E-3</v>
      </c>
      <c r="I18" s="121">
        <f t="shared" si="2"/>
        <v>1.3780113963372438</v>
      </c>
      <c r="J18" s="119">
        <f>I94+I125</f>
        <v>2626.56</v>
      </c>
      <c r="K18" s="121">
        <f t="shared" si="3"/>
        <v>100</v>
      </c>
      <c r="L18" s="119">
        <f>J94+J125</f>
        <v>0</v>
      </c>
      <c r="M18" s="119">
        <f>H94+H125</f>
        <v>187978.54</v>
      </c>
      <c r="N18" s="45"/>
      <c r="O18" s="45"/>
      <c r="P18" s="45"/>
      <c r="Q18" s="45"/>
      <c r="R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row>
    <row r="19" spans="1:132" s="2" customFormat="1" ht="18" customHeight="1">
      <c r="A19" s="118" t="s">
        <v>206</v>
      </c>
      <c r="B19" s="31" t="s">
        <v>207</v>
      </c>
      <c r="C19" s="119">
        <f t="shared" si="0"/>
        <v>4336074.4399999995</v>
      </c>
      <c r="D19" s="119">
        <f t="shared" si="0"/>
        <v>234353.52</v>
      </c>
      <c r="E19" s="119">
        <f t="shared" si="0"/>
        <v>4570427.96</v>
      </c>
      <c r="F19" s="119">
        <f>F95+F116</f>
        <v>48599455.039999999</v>
      </c>
      <c r="G19" s="119">
        <f>G95+G126</f>
        <v>4111307.4299999997</v>
      </c>
      <c r="H19" s="121">
        <f t="shared" si="1"/>
        <v>10.062810105102393</v>
      </c>
      <c r="I19" s="121">
        <f t="shared" si="2"/>
        <v>89.954539618211143</v>
      </c>
      <c r="J19" s="119">
        <f>I95+I126</f>
        <v>3993480.1799999997</v>
      </c>
      <c r="K19" s="121">
        <f t="shared" si="3"/>
        <v>97.134068614275336</v>
      </c>
      <c r="L19" s="119">
        <f>J95+J126</f>
        <v>117827.25</v>
      </c>
      <c r="M19" s="119">
        <f>H95+H126</f>
        <v>459120.53000000026</v>
      </c>
      <c r="N19" s="45"/>
      <c r="O19" s="45"/>
      <c r="P19" s="45"/>
      <c r="Q19" s="45"/>
      <c r="R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row>
    <row r="20" spans="1:132" s="2" customFormat="1" ht="18" customHeight="1">
      <c r="A20" s="118" t="s">
        <v>223</v>
      </c>
      <c r="B20" s="31" t="s">
        <v>495</v>
      </c>
      <c r="C20" s="119">
        <f t="shared" si="0"/>
        <v>0</v>
      </c>
      <c r="D20" s="119">
        <f t="shared" si="0"/>
        <v>0</v>
      </c>
      <c r="E20" s="119">
        <f t="shared" si="0"/>
        <v>0</v>
      </c>
      <c r="F20" s="119">
        <f>F96+F117</f>
        <v>0</v>
      </c>
      <c r="G20" s="119">
        <f>G96+G127</f>
        <v>0</v>
      </c>
      <c r="H20" s="121">
        <f t="shared" si="1"/>
        <v>0</v>
      </c>
      <c r="I20" s="121" t="str">
        <f t="shared" ref="I20" si="4">IF(G20=0,"    --",IF(E20=0,"    --",G20/E20*100))</f>
        <v xml:space="preserve">    --</v>
      </c>
      <c r="J20" s="119">
        <f>I96+I127</f>
        <v>0</v>
      </c>
      <c r="K20" s="121" t="str">
        <f t="shared" si="3"/>
        <v xml:space="preserve">    --</v>
      </c>
      <c r="L20" s="119">
        <f>J96+J127</f>
        <v>0</v>
      </c>
      <c r="M20" s="119">
        <f>H96+H127</f>
        <v>0</v>
      </c>
      <c r="N20" s="45"/>
      <c r="O20" s="45"/>
      <c r="P20" s="45"/>
      <c r="Q20" s="45"/>
      <c r="R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row>
    <row r="21" spans="1:132" s="2" customFormat="1" ht="18" customHeight="1">
      <c r="A21" s="118" t="s">
        <v>208</v>
      </c>
      <c r="B21" s="31" t="s">
        <v>209</v>
      </c>
      <c r="C21" s="119">
        <f t="shared" ref="C21:E24" si="5">C97+C127</f>
        <v>945820</v>
      </c>
      <c r="D21" s="119">
        <f t="shared" si="5"/>
        <v>2716080.1700000004</v>
      </c>
      <c r="E21" s="119">
        <f t="shared" si="5"/>
        <v>3661900.1700000004</v>
      </c>
      <c r="F21" s="119">
        <f>F97+F117</f>
        <v>1829792.25</v>
      </c>
      <c r="G21" s="119">
        <f>G97+G127</f>
        <v>1542067.02</v>
      </c>
      <c r="H21" s="121">
        <f t="shared" si="1"/>
        <v>3.7743535008767601</v>
      </c>
      <c r="I21" s="121">
        <f t="shared" si="2"/>
        <v>42.111115770804858</v>
      </c>
      <c r="J21" s="119">
        <f>I97+I127</f>
        <v>1463100.7200000002</v>
      </c>
      <c r="K21" s="121">
        <f t="shared" si="3"/>
        <v>94.879191437477232</v>
      </c>
      <c r="L21" s="119">
        <f>J97+J127</f>
        <v>78966.300000000032</v>
      </c>
      <c r="M21" s="119">
        <f>H97+H127</f>
        <v>2119833.15</v>
      </c>
      <c r="N21" s="45"/>
      <c r="O21" s="45"/>
      <c r="P21" s="45"/>
      <c r="Q21" s="45"/>
      <c r="R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row>
    <row r="22" spans="1:132" s="2" customFormat="1" ht="18" customHeight="1">
      <c r="A22" s="118" t="s">
        <v>210</v>
      </c>
      <c r="B22" s="31" t="s">
        <v>211</v>
      </c>
      <c r="C22" s="119">
        <f t="shared" si="5"/>
        <v>0</v>
      </c>
      <c r="D22" s="119">
        <f t="shared" si="5"/>
        <v>0</v>
      </c>
      <c r="E22" s="119">
        <f t="shared" si="5"/>
        <v>0</v>
      </c>
      <c r="F22" s="119">
        <f>F98+F118</f>
        <v>0</v>
      </c>
      <c r="G22" s="119">
        <f>G98+G128</f>
        <v>0</v>
      </c>
      <c r="H22" s="121">
        <f t="shared" si="1"/>
        <v>0</v>
      </c>
      <c r="I22" s="121" t="str">
        <f t="shared" si="2"/>
        <v xml:space="preserve">    --</v>
      </c>
      <c r="J22" s="119">
        <f>I98+I128</f>
        <v>0</v>
      </c>
      <c r="K22" s="121" t="str">
        <f t="shared" si="3"/>
        <v xml:space="preserve">    --</v>
      </c>
      <c r="L22" s="119">
        <f>J98+J128</f>
        <v>0</v>
      </c>
      <c r="M22" s="119">
        <f>H98+H128</f>
        <v>0</v>
      </c>
      <c r="N22" s="45"/>
      <c r="O22" s="45"/>
      <c r="P22" s="45"/>
      <c r="Q22" s="45"/>
      <c r="R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row>
    <row r="23" spans="1:132" s="2" customFormat="1" ht="18" customHeight="1">
      <c r="A23" s="118" t="s">
        <v>212</v>
      </c>
      <c r="B23" s="31" t="s">
        <v>213</v>
      </c>
      <c r="C23" s="119">
        <f t="shared" si="5"/>
        <v>24060</v>
      </c>
      <c r="D23" s="119">
        <f t="shared" si="5"/>
        <v>98860.92</v>
      </c>
      <c r="E23" s="119">
        <f t="shared" si="5"/>
        <v>122920.92</v>
      </c>
      <c r="F23" s="119">
        <f>F99+F119</f>
        <v>53106.1</v>
      </c>
      <c r="G23" s="119">
        <f>G99+G129</f>
        <v>53106.1</v>
      </c>
      <c r="H23" s="121">
        <f t="shared" si="1"/>
        <v>0.12998215502521498</v>
      </c>
      <c r="I23" s="121">
        <f t="shared" si="2"/>
        <v>43.203467725428673</v>
      </c>
      <c r="J23" s="119">
        <f>I99+I129</f>
        <v>53106.1</v>
      </c>
      <c r="K23" s="121">
        <f t="shared" si="3"/>
        <v>100</v>
      </c>
      <c r="L23" s="119">
        <f>J99+J129</f>
        <v>0</v>
      </c>
      <c r="M23" s="119">
        <f>H99+H129</f>
        <v>69814.820000000007</v>
      </c>
      <c r="N23" s="45"/>
      <c r="O23" s="45"/>
      <c r="P23" s="45"/>
      <c r="Q23" s="45"/>
      <c r="R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row>
    <row r="24" spans="1:132" s="2" customFormat="1" ht="18" customHeight="1">
      <c r="A24" s="118" t="s">
        <v>214</v>
      </c>
      <c r="B24" s="31" t="s">
        <v>215</v>
      </c>
      <c r="C24" s="119">
        <f t="shared" si="5"/>
        <v>0</v>
      </c>
      <c r="D24" s="119">
        <f t="shared" si="5"/>
        <v>0</v>
      </c>
      <c r="E24" s="119">
        <f t="shared" si="5"/>
        <v>0</v>
      </c>
      <c r="F24" s="119">
        <f>F100+F130</f>
        <v>0</v>
      </c>
      <c r="G24" s="119">
        <f>G100+G130</f>
        <v>0</v>
      </c>
      <c r="H24" s="121">
        <f t="shared" si="1"/>
        <v>0</v>
      </c>
      <c r="I24" s="121" t="str">
        <f t="shared" si="2"/>
        <v xml:space="preserve">    --</v>
      </c>
      <c r="J24" s="119">
        <f>I100+I130</f>
        <v>0</v>
      </c>
      <c r="K24" s="121" t="str">
        <f t="shared" si="3"/>
        <v xml:space="preserve">    --</v>
      </c>
      <c r="L24" s="119">
        <f>J100+J130</f>
        <v>0</v>
      </c>
      <c r="M24" s="119">
        <f>H100+H130</f>
        <v>0</v>
      </c>
      <c r="N24" s="45"/>
      <c r="O24" s="45"/>
      <c r="P24" s="45"/>
      <c r="Q24" s="45"/>
      <c r="R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row>
    <row r="25" spans="1:132" s="2" customFormat="1" ht="18" customHeight="1" thickBot="1">
      <c r="A25" s="240" t="s">
        <v>216</v>
      </c>
      <c r="B25" s="240"/>
      <c r="C25" s="122">
        <f>SUM(C16:C24)</f>
        <v>45792215.18</v>
      </c>
      <c r="D25" s="122">
        <f>SUM(D16:D24)</f>
        <v>5990173.6000000015</v>
      </c>
      <c r="E25" s="122">
        <f>SUM(E16:E24)</f>
        <v>51782388.780000009</v>
      </c>
      <c r="F25" s="122">
        <f>SUM(F16:F24)</f>
        <v>87483672.039999992</v>
      </c>
      <c r="G25" s="122">
        <f>SUM(G16:G24)</f>
        <v>40856454.480000004</v>
      </c>
      <c r="H25" s="123">
        <f t="shared" si="1"/>
        <v>100</v>
      </c>
      <c r="I25" s="123">
        <f t="shared" si="2"/>
        <v>78.900289157343877</v>
      </c>
      <c r="J25" s="122">
        <f>SUM(J16:J24)</f>
        <v>40270636.93</v>
      </c>
      <c r="K25" s="123">
        <f t="shared" si="3"/>
        <v>98.566156663724286</v>
      </c>
      <c r="L25" s="122">
        <f>SUM(L16:L24)</f>
        <v>585817.55000000075</v>
      </c>
      <c r="M25" s="122">
        <f>SUM(M16:M24)</f>
        <v>10925934.300000003</v>
      </c>
      <c r="N25" s="45"/>
      <c r="O25" s="45"/>
      <c r="P25" s="45"/>
      <c r="Q25" s="45"/>
      <c r="R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row>
    <row r="26" spans="1:132" s="2" customFormat="1" ht="18" customHeight="1">
      <c r="A26" s="124" t="s">
        <v>273</v>
      </c>
      <c r="B26" s="124"/>
      <c r="C26" s="125"/>
      <c r="D26" s="125"/>
      <c r="E26" s="125"/>
      <c r="F26" s="126"/>
      <c r="G26" s="125"/>
      <c r="H26" s="127"/>
      <c r="I26" s="127"/>
      <c r="J26" s="125"/>
      <c r="K26" s="127"/>
      <c r="L26" s="127"/>
      <c r="M26" s="125"/>
      <c r="N26" s="45"/>
      <c r="O26" s="45"/>
      <c r="P26" s="45"/>
      <c r="Q26" s="45"/>
      <c r="R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row>
    <row r="27" spans="1:132" s="2" customFormat="1" ht="12.95" customHeight="1">
      <c r="A27" s="128"/>
      <c r="B27" s="128"/>
      <c r="C27" s="129"/>
      <c r="D27" s="98"/>
      <c r="E27" s="98"/>
      <c r="F27" s="98"/>
      <c r="G27" s="98"/>
      <c r="H27" s="99"/>
      <c r="I27" s="99"/>
      <c r="J27" s="98"/>
      <c r="K27" s="99"/>
      <c r="L27" s="99"/>
      <c r="M27" s="98"/>
      <c r="N27" s="45"/>
      <c r="O27" s="45"/>
      <c r="P27" s="45"/>
      <c r="Q27" s="45"/>
      <c r="R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row>
    <row r="28" spans="1:132" s="2" customFormat="1" ht="12.95" customHeight="1">
      <c r="A28" s="128"/>
      <c r="B28" s="128"/>
      <c r="C28" s="129"/>
      <c r="D28" s="129"/>
      <c r="E28" s="129"/>
      <c r="F28" s="98"/>
      <c r="G28" s="98"/>
      <c r="H28" s="99"/>
      <c r="I28" s="99"/>
      <c r="J28" s="98"/>
      <c r="K28" s="99"/>
      <c r="L28" s="99"/>
      <c r="M28" s="98"/>
      <c r="N28" s="45"/>
      <c r="O28" s="45"/>
      <c r="P28" s="45"/>
      <c r="Q28" s="45"/>
      <c r="R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row>
    <row r="29" spans="1:132" s="2" customFormat="1" ht="18" customHeight="1" thickBot="1">
      <c r="A29" s="45" t="s">
        <v>12</v>
      </c>
      <c r="B29" s="128"/>
      <c r="C29" s="129"/>
      <c r="D29" s="98"/>
      <c r="E29" s="98"/>
      <c r="F29" s="98"/>
      <c r="G29" s="98"/>
      <c r="H29" s="99"/>
      <c r="I29" s="99"/>
      <c r="J29" s="98"/>
      <c r="K29" s="99"/>
      <c r="L29" s="99"/>
      <c r="M29" s="202">
        <f>M1</f>
        <v>2016</v>
      </c>
      <c r="N29" s="45"/>
      <c r="O29" s="45"/>
      <c r="P29" s="45"/>
      <c r="Q29" s="45"/>
      <c r="R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row>
    <row r="30" spans="1:132" s="2" customFormat="1" ht="33" customHeight="1">
      <c r="A30" s="246" t="s">
        <v>415</v>
      </c>
      <c r="B30" s="246"/>
      <c r="C30" s="114"/>
      <c r="D30" s="115"/>
      <c r="E30" s="115"/>
      <c r="F30" s="245"/>
      <c r="G30" s="245"/>
      <c r="H30" s="245"/>
      <c r="I30" s="245"/>
      <c r="J30" s="245"/>
      <c r="K30" s="245"/>
      <c r="L30" s="245"/>
      <c r="M30" s="245"/>
      <c r="N30" s="45"/>
      <c r="O30" s="45"/>
      <c r="P30" s="45"/>
      <c r="Q30" s="45"/>
      <c r="R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row>
    <row r="31" spans="1:132" s="2" customFormat="1" ht="18" customHeight="1">
      <c r="A31" s="116"/>
      <c r="B31" s="116"/>
      <c r="C31" s="236" t="s">
        <v>189</v>
      </c>
      <c r="D31" s="237"/>
      <c r="E31" s="238"/>
      <c r="F31" s="199"/>
      <c r="G31" s="236" t="s">
        <v>190</v>
      </c>
      <c r="H31" s="237"/>
      <c r="I31" s="237"/>
      <c r="J31" s="237"/>
      <c r="K31" s="237"/>
      <c r="L31" s="237"/>
      <c r="M31" s="238"/>
      <c r="N31" s="45"/>
      <c r="O31" s="45"/>
      <c r="P31" s="45"/>
      <c r="Q31" s="45"/>
      <c r="R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row>
    <row r="32" spans="1:132" s="2" customFormat="1" ht="18" customHeight="1">
      <c r="F32" s="133"/>
      <c r="G32" s="130" t="s">
        <v>448</v>
      </c>
      <c r="J32" s="130" t="s">
        <v>327</v>
      </c>
      <c r="K32" s="198"/>
      <c r="L32" s="130" t="s">
        <v>448</v>
      </c>
      <c r="M32" s="130" t="s">
        <v>448</v>
      </c>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row>
    <row r="33" spans="1:132" s="2" customFormat="1" ht="18" customHeight="1">
      <c r="A33" s="235" t="s">
        <v>191</v>
      </c>
      <c r="B33" s="235"/>
      <c r="C33" s="117" t="s">
        <v>192</v>
      </c>
      <c r="D33" s="117" t="s">
        <v>193</v>
      </c>
      <c r="E33" s="117" t="s">
        <v>194</v>
      </c>
      <c r="F33" s="133"/>
      <c r="G33" s="117" t="s">
        <v>449</v>
      </c>
      <c r="H33" s="117" t="s">
        <v>195</v>
      </c>
      <c r="I33" s="117" t="s">
        <v>217</v>
      </c>
      <c r="J33" s="117" t="s">
        <v>450</v>
      </c>
      <c r="K33" s="117" t="s">
        <v>218</v>
      </c>
      <c r="L33" s="117" t="s">
        <v>451</v>
      </c>
      <c r="M33" s="117" t="s">
        <v>219</v>
      </c>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row>
    <row r="34" spans="1:132" s="2" customFormat="1" ht="18" customHeight="1">
      <c r="A34" s="118" t="s">
        <v>200</v>
      </c>
      <c r="B34" s="31" t="s">
        <v>220</v>
      </c>
      <c r="C34" s="119">
        <f t="shared" ref="C34:E42" si="6">C107+C137</f>
        <v>0</v>
      </c>
      <c r="D34" s="119">
        <f t="shared" si="6"/>
        <v>0</v>
      </c>
      <c r="E34" s="119">
        <f t="shared" si="6"/>
        <v>0</v>
      </c>
      <c r="F34" s="119"/>
      <c r="G34" s="119">
        <f t="shared" ref="G34:G42" si="7">F107+F137</f>
        <v>0</v>
      </c>
      <c r="H34" s="121">
        <f t="shared" ref="H34:H43" si="8">IF($G$43=0,"    --",G34/$G$43*100)</f>
        <v>0</v>
      </c>
      <c r="I34" s="121" t="str">
        <f t="shared" ref="I34:I43" si="9">IF(G34=0,"    --",IF(E34=0,"    --",G34/E34*100))</f>
        <v xml:space="preserve">    --</v>
      </c>
      <c r="J34" s="119">
        <f t="shared" ref="J34:J42" si="10">G107+G137</f>
        <v>0</v>
      </c>
      <c r="K34" s="121" t="str">
        <f t="shared" ref="K34:K43" si="11">IF(G34=0,"     --",J34/G34*100)</f>
        <v xml:space="preserve">     --</v>
      </c>
      <c r="L34" s="119">
        <f t="shared" ref="L34:L42" si="12">H107+H137</f>
        <v>0</v>
      </c>
      <c r="M34" s="119">
        <f t="shared" ref="M34:M42" si="13">I107+I137</f>
        <v>0</v>
      </c>
      <c r="N34" s="45"/>
      <c r="O34" s="45"/>
      <c r="P34" s="45"/>
      <c r="Q34" s="45"/>
      <c r="R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row>
    <row r="35" spans="1:132" s="2" customFormat="1" ht="18" customHeight="1">
      <c r="A35" s="118" t="s">
        <v>202</v>
      </c>
      <c r="B35" s="31" t="s">
        <v>221</v>
      </c>
      <c r="C35" s="119">
        <f t="shared" si="6"/>
        <v>0</v>
      </c>
      <c r="D35" s="119">
        <f t="shared" si="6"/>
        <v>0</v>
      </c>
      <c r="E35" s="119">
        <f t="shared" si="6"/>
        <v>0</v>
      </c>
      <c r="F35" s="119"/>
      <c r="G35" s="119">
        <f t="shared" si="7"/>
        <v>0</v>
      </c>
      <c r="H35" s="121">
        <f t="shared" si="8"/>
        <v>0</v>
      </c>
      <c r="I35" s="121" t="str">
        <f t="shared" si="9"/>
        <v xml:space="preserve">    --</v>
      </c>
      <c r="J35" s="119">
        <f t="shared" si="10"/>
        <v>0</v>
      </c>
      <c r="K35" s="121" t="str">
        <f t="shared" si="11"/>
        <v xml:space="preserve">     --</v>
      </c>
      <c r="L35" s="119">
        <f t="shared" si="12"/>
        <v>0</v>
      </c>
      <c r="M35" s="119">
        <f t="shared" si="13"/>
        <v>0</v>
      </c>
      <c r="N35" s="45"/>
      <c r="O35" s="45"/>
      <c r="P35" s="45"/>
      <c r="Q35" s="45"/>
      <c r="R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row>
    <row r="36" spans="1:132" s="2" customFormat="1" ht="18" customHeight="1">
      <c r="A36" s="118" t="s">
        <v>204</v>
      </c>
      <c r="B36" s="31" t="s">
        <v>222</v>
      </c>
      <c r="C36" s="119">
        <f t="shared" si="6"/>
        <v>6751250</v>
      </c>
      <c r="D36" s="119">
        <f t="shared" si="6"/>
        <v>0</v>
      </c>
      <c r="E36" s="119">
        <f t="shared" si="6"/>
        <v>6751250</v>
      </c>
      <c r="F36" s="119"/>
      <c r="G36" s="119">
        <f t="shared" si="7"/>
        <v>6839735.0599999996</v>
      </c>
      <c r="H36" s="121">
        <f t="shared" si="8"/>
        <v>15.41307128712665</v>
      </c>
      <c r="I36" s="121">
        <f t="shared" si="9"/>
        <v>101.31064706535827</v>
      </c>
      <c r="J36" s="119">
        <f t="shared" si="10"/>
        <v>4911609.1399999997</v>
      </c>
      <c r="K36" s="121">
        <f t="shared" si="11"/>
        <v>71.809932649642718</v>
      </c>
      <c r="L36" s="119">
        <f t="shared" si="12"/>
        <v>0</v>
      </c>
      <c r="M36" s="119">
        <f t="shared" si="13"/>
        <v>1928125.9199999997</v>
      </c>
      <c r="N36" s="45"/>
      <c r="O36" s="45"/>
      <c r="P36" s="45"/>
      <c r="Q36" s="45"/>
      <c r="R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row>
    <row r="37" spans="1:132" s="2" customFormat="1" ht="18" customHeight="1">
      <c r="A37" s="118" t="s">
        <v>206</v>
      </c>
      <c r="B37" s="31" t="s">
        <v>207</v>
      </c>
      <c r="C37" s="119">
        <f t="shared" si="6"/>
        <v>38202245.18</v>
      </c>
      <c r="D37" s="119">
        <f t="shared" si="6"/>
        <v>47003.22</v>
      </c>
      <c r="E37" s="119">
        <f t="shared" si="6"/>
        <v>38249248.399999999</v>
      </c>
      <c r="F37" s="119"/>
      <c r="G37" s="119">
        <f t="shared" si="7"/>
        <v>36603118.579999998</v>
      </c>
      <c r="H37" s="121">
        <f t="shared" si="8"/>
        <v>82.483673863924494</v>
      </c>
      <c r="I37" s="121">
        <f t="shared" si="9"/>
        <v>95.696308061310816</v>
      </c>
      <c r="J37" s="119">
        <f t="shared" si="10"/>
        <v>30888300.930000003</v>
      </c>
      <c r="K37" s="121">
        <f t="shared" si="11"/>
        <v>84.387074457850758</v>
      </c>
      <c r="L37" s="119">
        <f t="shared" si="12"/>
        <v>698230.71</v>
      </c>
      <c r="M37" s="119">
        <f t="shared" si="13"/>
        <v>5714817.6499999985</v>
      </c>
      <c r="N37" s="45"/>
      <c r="O37" s="45"/>
      <c r="P37" s="45"/>
      <c r="Q37" s="45"/>
      <c r="R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row>
    <row r="38" spans="1:132" s="2" customFormat="1" ht="18" customHeight="1">
      <c r="A38" s="118" t="s">
        <v>223</v>
      </c>
      <c r="B38" s="31" t="s">
        <v>224</v>
      </c>
      <c r="C38" s="119">
        <f t="shared" si="6"/>
        <v>2000</v>
      </c>
      <c r="D38" s="119">
        <f t="shared" si="6"/>
        <v>0</v>
      </c>
      <c r="E38" s="119">
        <f t="shared" si="6"/>
        <v>2000</v>
      </c>
      <c r="F38" s="119"/>
      <c r="G38" s="119">
        <f t="shared" si="7"/>
        <v>18658.810000000001</v>
      </c>
      <c r="H38" s="121">
        <f t="shared" si="8"/>
        <v>4.2046887217141955E-2</v>
      </c>
      <c r="I38" s="121">
        <f t="shared" si="9"/>
        <v>932.94050000000016</v>
      </c>
      <c r="J38" s="119">
        <f t="shared" si="10"/>
        <v>12204.73</v>
      </c>
      <c r="K38" s="121">
        <f t="shared" si="11"/>
        <v>65.410012750009244</v>
      </c>
      <c r="L38" s="119">
        <f t="shared" si="12"/>
        <v>0</v>
      </c>
      <c r="M38" s="119">
        <f t="shared" si="13"/>
        <v>6454.08</v>
      </c>
      <c r="N38" s="45"/>
      <c r="O38" s="45"/>
      <c r="P38" s="45"/>
      <c r="Q38" s="45"/>
      <c r="R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row>
    <row r="39" spans="1:132" s="2" customFormat="1" ht="18" customHeight="1">
      <c r="A39" s="118" t="s">
        <v>208</v>
      </c>
      <c r="B39" s="31" t="s">
        <v>225</v>
      </c>
      <c r="C39" s="119">
        <f t="shared" si="6"/>
        <v>0</v>
      </c>
      <c r="D39" s="119">
        <f t="shared" si="6"/>
        <v>0</v>
      </c>
      <c r="E39" s="119">
        <f t="shared" si="6"/>
        <v>0</v>
      </c>
      <c r="F39" s="119"/>
      <c r="G39" s="119">
        <f t="shared" si="7"/>
        <v>0</v>
      </c>
      <c r="H39" s="121">
        <f t="shared" si="8"/>
        <v>0</v>
      </c>
      <c r="I39" s="121" t="str">
        <f t="shared" si="9"/>
        <v xml:space="preserve">    --</v>
      </c>
      <c r="J39" s="119">
        <f t="shared" si="10"/>
        <v>0</v>
      </c>
      <c r="K39" s="121" t="str">
        <f t="shared" si="11"/>
        <v xml:space="preserve">     --</v>
      </c>
      <c r="L39" s="119">
        <f t="shared" si="12"/>
        <v>0</v>
      </c>
      <c r="M39" s="119">
        <f t="shared" si="13"/>
        <v>0</v>
      </c>
      <c r="N39" s="45"/>
      <c r="O39" s="45"/>
      <c r="P39" s="45"/>
      <c r="Q39" s="45"/>
      <c r="R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row>
    <row r="40" spans="1:132" s="2" customFormat="1" ht="18" customHeight="1">
      <c r="A40" s="118" t="s">
        <v>210</v>
      </c>
      <c r="B40" s="31" t="s">
        <v>211</v>
      </c>
      <c r="C40" s="119">
        <f t="shared" si="6"/>
        <v>836720</v>
      </c>
      <c r="D40" s="119">
        <f t="shared" si="6"/>
        <v>6878.47</v>
      </c>
      <c r="E40" s="119">
        <f t="shared" si="6"/>
        <v>843598.47</v>
      </c>
      <c r="F40" s="119"/>
      <c r="G40" s="119">
        <f t="shared" si="7"/>
        <v>830837.5</v>
      </c>
      <c r="H40" s="121">
        <f t="shared" si="8"/>
        <v>1.8722593058331252</v>
      </c>
      <c r="I40" s="121">
        <f t="shared" si="9"/>
        <v>98.487317076333724</v>
      </c>
      <c r="J40" s="119">
        <f t="shared" si="10"/>
        <v>566990.86</v>
      </c>
      <c r="K40" s="121">
        <f t="shared" si="11"/>
        <v>68.24329185911806</v>
      </c>
      <c r="L40" s="119">
        <f t="shared" si="12"/>
        <v>0</v>
      </c>
      <c r="M40" s="119">
        <f t="shared" si="13"/>
        <v>263846.64</v>
      </c>
      <c r="N40" s="45"/>
      <c r="O40" s="45"/>
      <c r="P40" s="45"/>
      <c r="Q40" s="45"/>
      <c r="R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row>
    <row r="41" spans="1:132" s="2" customFormat="1" ht="18" customHeight="1">
      <c r="A41" s="118" t="s">
        <v>212</v>
      </c>
      <c r="B41" s="31" t="s">
        <v>213</v>
      </c>
      <c r="C41" s="119">
        <f t="shared" si="6"/>
        <v>0</v>
      </c>
      <c r="D41" s="119">
        <f t="shared" si="6"/>
        <v>5936291.9100000001</v>
      </c>
      <c r="E41" s="119">
        <f t="shared" si="6"/>
        <v>5936291.9100000001</v>
      </c>
      <c r="F41" s="119"/>
      <c r="G41" s="119">
        <f t="shared" si="7"/>
        <v>83848.23</v>
      </c>
      <c r="H41" s="121">
        <f t="shared" si="8"/>
        <v>0.18894865589857973</v>
      </c>
      <c r="I41" s="121">
        <f t="shared" si="9"/>
        <v>1.4124681075530194</v>
      </c>
      <c r="J41" s="119">
        <f t="shared" si="10"/>
        <v>83748.23</v>
      </c>
      <c r="K41" s="121">
        <f t="shared" si="11"/>
        <v>99.880736898083597</v>
      </c>
      <c r="L41" s="119">
        <f t="shared" si="12"/>
        <v>0</v>
      </c>
      <c r="M41" s="119">
        <f t="shared" si="13"/>
        <v>100</v>
      </c>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row>
    <row r="42" spans="1:132" s="2" customFormat="1" ht="18" customHeight="1">
      <c r="A42" s="118" t="s">
        <v>214</v>
      </c>
      <c r="B42" s="31" t="s">
        <v>215</v>
      </c>
      <c r="C42" s="119">
        <f t="shared" si="6"/>
        <v>0</v>
      </c>
      <c r="D42" s="119">
        <f t="shared" si="6"/>
        <v>0</v>
      </c>
      <c r="E42" s="119">
        <f t="shared" si="6"/>
        <v>0</v>
      </c>
      <c r="F42" s="119"/>
      <c r="G42" s="119">
        <f t="shared" si="7"/>
        <v>0</v>
      </c>
      <c r="H42" s="121">
        <f t="shared" si="8"/>
        <v>0</v>
      </c>
      <c r="I42" s="121" t="str">
        <f t="shared" si="9"/>
        <v xml:space="preserve">    --</v>
      </c>
      <c r="J42" s="119">
        <f t="shared" si="10"/>
        <v>0</v>
      </c>
      <c r="K42" s="121" t="str">
        <f t="shared" si="11"/>
        <v xml:space="preserve">     --</v>
      </c>
      <c r="L42" s="119">
        <f t="shared" si="12"/>
        <v>0</v>
      </c>
      <c r="M42" s="119">
        <f t="shared" si="13"/>
        <v>0</v>
      </c>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row>
    <row r="43" spans="1:132" s="2" customFormat="1" ht="18" customHeight="1" thickBot="1">
      <c r="A43" s="240" t="s">
        <v>226</v>
      </c>
      <c r="B43" s="240"/>
      <c r="C43" s="122">
        <f>SUM(C34:C42)</f>
        <v>45792215.18</v>
      </c>
      <c r="D43" s="122">
        <f>SUM(D34:D42)</f>
        <v>5990173.6000000006</v>
      </c>
      <c r="E43" s="122">
        <f>SUM(E34:E42)</f>
        <v>51782388.780000001</v>
      </c>
      <c r="F43" s="200"/>
      <c r="G43" s="122">
        <f>SUM(G34:G42)</f>
        <v>44376198.18</v>
      </c>
      <c r="H43" s="123">
        <f t="shared" si="8"/>
        <v>100</v>
      </c>
      <c r="I43" s="123">
        <f t="shared" si="9"/>
        <v>85.69747210491667</v>
      </c>
      <c r="J43" s="122">
        <f>SUM(J34:J42)</f>
        <v>36462853.889999993</v>
      </c>
      <c r="K43" s="123">
        <f t="shared" si="11"/>
        <v>82.167592956247233</v>
      </c>
      <c r="L43" s="122">
        <f>SUM(L34:L42)</f>
        <v>698230.71</v>
      </c>
      <c r="M43" s="122">
        <f>SUM(M34:M42)</f>
        <v>7913344.2899999982</v>
      </c>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row>
    <row r="44" spans="1:132" s="2" customFormat="1" ht="18" customHeight="1">
      <c r="A44" s="124" t="s">
        <v>273</v>
      </c>
      <c r="B44" s="124"/>
      <c r="C44" s="125"/>
      <c r="D44" s="125"/>
      <c r="E44" s="125"/>
      <c r="F44" s="125"/>
      <c r="G44" s="125"/>
      <c r="H44" s="127"/>
      <c r="I44" s="127"/>
      <c r="J44" s="125"/>
      <c r="K44" s="127"/>
      <c r="L44" s="127"/>
      <c r="M44" s="12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row>
    <row r="45" spans="1:132" s="2" customFormat="1" ht="12.95" customHeight="1">
      <c r="A45" s="124"/>
      <c r="B45" s="124"/>
      <c r="C45" s="125"/>
      <c r="D45" s="125"/>
      <c r="E45" s="125"/>
      <c r="F45" s="125"/>
      <c r="G45" s="125"/>
      <c r="H45" s="127"/>
      <c r="I45" s="127"/>
      <c r="J45" s="125"/>
      <c r="K45" s="127"/>
      <c r="L45" s="127"/>
      <c r="M45" s="12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row>
    <row r="46" spans="1:132" s="2" customFormat="1" ht="12.95" customHeight="1">
      <c r="A46" s="124"/>
      <c r="B46" s="124"/>
      <c r="C46" s="125"/>
      <c r="D46" s="125"/>
      <c r="E46" s="125"/>
      <c r="F46" s="125"/>
      <c r="G46" s="125"/>
      <c r="H46" s="127"/>
      <c r="I46" s="127"/>
      <c r="J46" s="125"/>
      <c r="K46" s="127"/>
      <c r="L46" s="127"/>
      <c r="M46" s="12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row>
    <row r="47" spans="1:132" s="2" customFormat="1" ht="18" customHeight="1" thickBot="1">
      <c r="A47" s="45" t="s">
        <v>12</v>
      </c>
      <c r="B47" s="124"/>
      <c r="C47" s="125"/>
      <c r="D47" s="125"/>
      <c r="E47" s="125"/>
      <c r="F47" s="125"/>
      <c r="G47" s="202">
        <f>M1</f>
        <v>2016</v>
      </c>
      <c r="H47" s="127"/>
      <c r="I47" s="127"/>
      <c r="J47" s="125"/>
      <c r="K47" s="127"/>
      <c r="L47" s="127"/>
      <c r="M47" s="12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row>
    <row r="48" spans="1:132" ht="33" customHeight="1">
      <c r="A48" s="246" t="s">
        <v>414</v>
      </c>
      <c r="B48" s="246"/>
      <c r="C48" s="246"/>
      <c r="D48" s="131"/>
      <c r="E48" s="131"/>
      <c r="F48" s="132"/>
      <c r="G48" s="131"/>
      <c r="H48" s="32"/>
      <c r="I48" s="32"/>
      <c r="J48" s="32"/>
      <c r="K48" s="32"/>
      <c r="L48" s="32"/>
      <c r="M48" s="32"/>
    </row>
    <row r="49" spans="1:13" ht="33" customHeight="1">
      <c r="A49" s="241"/>
      <c r="B49" s="241"/>
      <c r="C49" s="241"/>
      <c r="D49" s="134" t="s">
        <v>227</v>
      </c>
      <c r="E49" s="134" t="s">
        <v>228</v>
      </c>
      <c r="F49" s="31"/>
      <c r="G49" s="133" t="s">
        <v>229</v>
      </c>
      <c r="H49" s="32"/>
      <c r="I49" s="32"/>
      <c r="J49" s="32"/>
      <c r="K49" s="32"/>
      <c r="L49" s="32"/>
      <c r="M49" s="32"/>
    </row>
    <row r="50" spans="1:13" ht="18" customHeight="1">
      <c r="A50" s="242" t="s">
        <v>16</v>
      </c>
      <c r="B50" s="242"/>
      <c r="C50" s="242"/>
      <c r="D50" s="134" t="s">
        <v>230</v>
      </c>
      <c r="E50" s="134" t="s">
        <v>231</v>
      </c>
      <c r="F50" s="135" t="s">
        <v>232</v>
      </c>
      <c r="G50" s="134" t="s">
        <v>233</v>
      </c>
      <c r="H50" s="32"/>
      <c r="I50" s="32"/>
      <c r="J50" s="32"/>
      <c r="K50" s="32"/>
      <c r="L50" s="32"/>
      <c r="M50" s="32"/>
    </row>
    <row r="51" spans="1:13" ht="18" customHeight="1">
      <c r="A51" s="136" t="s">
        <v>234</v>
      </c>
      <c r="B51" s="111" t="s">
        <v>235</v>
      </c>
      <c r="C51" s="120"/>
      <c r="D51" s="120">
        <f>D154+D172</f>
        <v>43461512.450000003</v>
      </c>
      <c r="E51" s="120">
        <f>E154+E172</f>
        <v>39261281.360000007</v>
      </c>
      <c r="F51" s="120"/>
      <c r="G51" s="120">
        <f t="shared" ref="G51:G57" si="14">D51-E51</f>
        <v>4200231.0899999961</v>
      </c>
      <c r="H51" s="32"/>
      <c r="I51" s="32"/>
      <c r="J51" s="32"/>
      <c r="K51" s="32"/>
      <c r="L51" s="32"/>
      <c r="M51" s="32"/>
    </row>
    <row r="52" spans="1:13" ht="18" customHeight="1">
      <c r="A52" s="41" t="s">
        <v>236</v>
      </c>
      <c r="B52" s="31" t="s">
        <v>237</v>
      </c>
      <c r="C52" s="119"/>
      <c r="D52" s="119">
        <f t="shared" ref="D52:E56" si="15">D155+D173</f>
        <v>830837.5</v>
      </c>
      <c r="E52" s="119">
        <f t="shared" si="15"/>
        <v>1542067.0200000003</v>
      </c>
      <c r="F52" s="119"/>
      <c r="G52" s="119">
        <f t="shared" si="14"/>
        <v>-711229.52000000025</v>
      </c>
      <c r="H52" s="32"/>
      <c r="I52" s="32"/>
      <c r="J52" s="32"/>
      <c r="K52" s="32"/>
      <c r="L52" s="32"/>
      <c r="M52" s="32"/>
    </row>
    <row r="53" spans="1:13" ht="18" customHeight="1">
      <c r="A53" s="41" t="s">
        <v>238</v>
      </c>
      <c r="B53" s="31" t="s">
        <v>239</v>
      </c>
      <c r="C53" s="119"/>
      <c r="D53" s="119">
        <f t="shared" si="15"/>
        <v>0</v>
      </c>
      <c r="E53" s="119">
        <f t="shared" si="15"/>
        <v>0</v>
      </c>
      <c r="F53" s="119"/>
      <c r="G53" s="119">
        <f t="shared" si="14"/>
        <v>0</v>
      </c>
      <c r="H53" s="32"/>
      <c r="I53" s="32"/>
      <c r="J53" s="32"/>
      <c r="K53" s="32"/>
      <c r="L53" s="32"/>
      <c r="M53" s="32"/>
    </row>
    <row r="54" spans="1:13" ht="18" customHeight="1">
      <c r="A54" s="137" t="s">
        <v>240</v>
      </c>
      <c r="B54" s="137"/>
      <c r="C54" s="138"/>
      <c r="D54" s="138">
        <f>D51+D52+D53</f>
        <v>44292349.950000003</v>
      </c>
      <c r="E54" s="138">
        <f>E51+E52+E53</f>
        <v>40803348.38000001</v>
      </c>
      <c r="F54" s="119"/>
      <c r="G54" s="138">
        <f t="shared" si="14"/>
        <v>3489001.5699999928</v>
      </c>
      <c r="H54" s="32"/>
      <c r="I54" s="32"/>
      <c r="J54" s="32"/>
      <c r="K54" s="32"/>
      <c r="L54" s="32"/>
      <c r="M54" s="32"/>
    </row>
    <row r="55" spans="1:13" ht="18" customHeight="1">
      <c r="A55" s="41" t="s">
        <v>241</v>
      </c>
      <c r="B55" s="31" t="s">
        <v>213</v>
      </c>
      <c r="C55" s="119"/>
      <c r="D55" s="119">
        <f t="shared" si="15"/>
        <v>83848.23</v>
      </c>
      <c r="E55" s="119">
        <f>E158+E176</f>
        <v>53106.1</v>
      </c>
      <c r="F55" s="119"/>
      <c r="G55" s="119">
        <f t="shared" si="14"/>
        <v>30742.129999999997</v>
      </c>
      <c r="H55" s="32"/>
      <c r="I55" s="32"/>
      <c r="J55" s="32"/>
      <c r="K55" s="32"/>
      <c r="L55" s="32"/>
      <c r="M55" s="32"/>
    </row>
    <row r="56" spans="1:13" ht="18" customHeight="1">
      <c r="A56" s="41" t="s">
        <v>242</v>
      </c>
      <c r="B56" s="31" t="s">
        <v>243</v>
      </c>
      <c r="C56" s="119"/>
      <c r="D56" s="119">
        <f t="shared" si="15"/>
        <v>0</v>
      </c>
      <c r="E56" s="119">
        <f>E159+E177</f>
        <v>0</v>
      </c>
      <c r="F56" s="119"/>
      <c r="G56" s="119">
        <f t="shared" si="14"/>
        <v>0</v>
      </c>
      <c r="H56" s="32"/>
      <c r="I56" s="32"/>
      <c r="J56" s="32"/>
      <c r="K56" s="32"/>
      <c r="L56" s="32"/>
      <c r="M56" s="32"/>
    </row>
    <row r="57" spans="1:13" ht="18" customHeight="1">
      <c r="A57" s="111" t="s">
        <v>244</v>
      </c>
      <c r="B57" s="111"/>
      <c r="C57" s="120"/>
      <c r="D57" s="120">
        <f>D55+D56</f>
        <v>83848.23</v>
      </c>
      <c r="E57" s="120">
        <f>E55+E56</f>
        <v>53106.1</v>
      </c>
      <c r="F57" s="119"/>
      <c r="G57" s="138">
        <f t="shared" si="14"/>
        <v>30742.129999999997</v>
      </c>
      <c r="H57" s="32"/>
      <c r="I57" s="32"/>
      <c r="J57" s="32"/>
      <c r="K57" s="32"/>
      <c r="L57" s="32"/>
      <c r="M57" s="32"/>
    </row>
    <row r="58" spans="1:13" ht="18" customHeight="1">
      <c r="A58" s="243" t="s">
        <v>436</v>
      </c>
      <c r="B58" s="243"/>
      <c r="C58" s="243"/>
      <c r="D58" s="139">
        <f>D54+D57</f>
        <v>44376198.18</v>
      </c>
      <c r="E58" s="139">
        <f>E54+E57</f>
        <v>40856454.480000012</v>
      </c>
      <c r="F58" s="119"/>
      <c r="G58" s="139">
        <f>G54+G57</f>
        <v>3519743.6999999927</v>
      </c>
      <c r="H58" s="32"/>
      <c r="I58" s="32"/>
      <c r="J58" s="32"/>
      <c r="K58" s="32"/>
      <c r="L58" s="32"/>
      <c r="M58" s="32"/>
    </row>
    <row r="59" spans="1:13" ht="18" customHeight="1">
      <c r="A59" s="140" t="s">
        <v>246</v>
      </c>
      <c r="B59" s="31"/>
      <c r="C59" s="119"/>
      <c r="D59" s="119"/>
      <c r="E59" s="119"/>
      <c r="F59" s="119"/>
      <c r="G59" s="120"/>
      <c r="H59" s="32"/>
      <c r="I59" s="32"/>
      <c r="J59" s="32"/>
      <c r="K59" s="32"/>
      <c r="L59" s="32"/>
      <c r="M59" s="32"/>
    </row>
    <row r="60" spans="1:13" ht="18" customHeight="1">
      <c r="A60" s="144" t="s">
        <v>247</v>
      </c>
      <c r="B60" s="31"/>
      <c r="C60" s="119"/>
      <c r="D60" s="119"/>
      <c r="E60" s="119"/>
      <c r="F60" s="119">
        <f>F163+F181</f>
        <v>2856487.78</v>
      </c>
      <c r="G60" s="119"/>
      <c r="H60" s="32"/>
      <c r="I60" s="32"/>
      <c r="J60" s="32"/>
      <c r="K60" s="32"/>
      <c r="L60" s="32"/>
      <c r="M60" s="32"/>
    </row>
    <row r="61" spans="1:13" ht="18" customHeight="1">
      <c r="A61" s="144" t="s">
        <v>248</v>
      </c>
      <c r="B61" s="31"/>
      <c r="C61" s="119"/>
      <c r="D61" s="119"/>
      <c r="E61" s="119"/>
      <c r="F61" s="119">
        <f>F164+F182</f>
        <v>0</v>
      </c>
      <c r="G61" s="119"/>
      <c r="H61" s="32"/>
      <c r="I61" s="32"/>
      <c r="J61" s="32"/>
      <c r="K61" s="32"/>
      <c r="L61" s="32"/>
      <c r="M61" s="32"/>
    </row>
    <row r="62" spans="1:13" ht="18" customHeight="1">
      <c r="A62" s="144" t="s">
        <v>249</v>
      </c>
      <c r="B62" s="31"/>
      <c r="C62" s="119"/>
      <c r="D62" s="119"/>
      <c r="E62" s="119"/>
      <c r="F62" s="119">
        <f>F165+F183</f>
        <v>0</v>
      </c>
      <c r="G62" s="119"/>
      <c r="H62" s="32"/>
      <c r="I62" s="32"/>
      <c r="J62" s="32"/>
      <c r="K62" s="32"/>
      <c r="L62" s="32"/>
      <c r="M62" s="32"/>
    </row>
    <row r="63" spans="1:13" ht="18" customHeight="1">
      <c r="A63" s="243" t="s">
        <v>437</v>
      </c>
      <c r="B63" s="243"/>
      <c r="C63" s="243"/>
      <c r="D63" s="243"/>
      <c r="E63" s="243"/>
      <c r="F63" s="145">
        <f>F60+F61-F62</f>
        <v>2856487.78</v>
      </c>
      <c r="G63" s="119"/>
      <c r="H63" s="32"/>
      <c r="I63" s="32"/>
      <c r="J63" s="32"/>
      <c r="K63" s="32"/>
      <c r="L63" s="32"/>
      <c r="M63" s="32"/>
    </row>
    <row r="64" spans="1:13" ht="18" customHeight="1" thickBot="1">
      <c r="A64" s="247" t="s">
        <v>251</v>
      </c>
      <c r="B64" s="247"/>
      <c r="C64" s="247"/>
      <c r="D64" s="247"/>
      <c r="E64" s="247"/>
      <c r="F64" s="247"/>
      <c r="G64" s="146">
        <f>G58+F63</f>
        <v>6376231.479999993</v>
      </c>
      <c r="H64" s="32"/>
      <c r="I64" s="32"/>
      <c r="J64" s="32"/>
      <c r="K64" s="32"/>
      <c r="L64" s="32"/>
      <c r="M64" s="32"/>
    </row>
    <row r="65" spans="1:132" ht="12.95" customHeight="1">
      <c r="A65" s="82"/>
      <c r="B65" s="82"/>
      <c r="C65" s="82"/>
      <c r="D65" s="82"/>
      <c r="E65" s="82"/>
      <c r="F65" s="82"/>
      <c r="G65" s="98"/>
    </row>
    <row r="66" spans="1:132" ht="12.95" customHeight="1">
      <c r="A66" s="82"/>
      <c r="B66" s="82"/>
      <c r="C66" s="82"/>
      <c r="D66" s="82"/>
      <c r="E66" s="82"/>
      <c r="F66" s="82"/>
      <c r="G66" s="98"/>
    </row>
    <row r="67" spans="1:132" s="2" customFormat="1" ht="21" customHeight="1">
      <c r="A67" s="97" t="s">
        <v>481</v>
      </c>
      <c r="B67" s="128"/>
      <c r="C67" s="98"/>
      <c r="D67" s="98"/>
      <c r="E67" s="98"/>
      <c r="F67" s="98"/>
      <c r="G67" s="98"/>
      <c r="H67" s="99"/>
      <c r="I67" s="99"/>
      <c r="J67" s="98"/>
      <c r="K67" s="99"/>
      <c r="L67" s="99"/>
      <c r="M67" s="98"/>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row>
    <row r="68" spans="1:132" s="2" customFormat="1" ht="12.95" customHeight="1">
      <c r="A68" s="97"/>
      <c r="B68" s="128"/>
      <c r="C68" s="98"/>
      <c r="D68" s="98"/>
      <c r="E68" s="98"/>
      <c r="F68" s="98"/>
      <c r="G68" s="98"/>
      <c r="H68" s="99"/>
      <c r="I68" s="99"/>
      <c r="J68" s="98"/>
      <c r="K68" s="99"/>
      <c r="L68" s="99"/>
      <c r="M68" s="98"/>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row>
    <row r="69" spans="1:132" s="2" customFormat="1" ht="18" customHeight="1" thickBot="1">
      <c r="A69" s="113"/>
      <c r="B69" s="128"/>
      <c r="C69" s="202">
        <f>M1</f>
        <v>2016</v>
      </c>
      <c r="D69" s="98"/>
      <c r="E69" s="98"/>
      <c r="F69" s="98"/>
      <c r="G69" s="202">
        <f>M1</f>
        <v>2016</v>
      </c>
      <c r="H69" s="99"/>
      <c r="I69" s="99"/>
      <c r="J69" s="98"/>
      <c r="K69" s="99"/>
      <c r="L69" s="99"/>
      <c r="M69" s="98"/>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row>
    <row r="70" spans="1:132" s="147" customFormat="1" ht="33" customHeight="1">
      <c r="A70" s="239" t="s">
        <v>252</v>
      </c>
      <c r="B70" s="239"/>
      <c r="C70" s="239"/>
      <c r="D70" s="125"/>
      <c r="E70" s="239" t="s">
        <v>480</v>
      </c>
      <c r="F70" s="239"/>
      <c r="G70" s="239"/>
      <c r="H70" s="127"/>
      <c r="I70" s="127"/>
      <c r="J70" s="125"/>
      <c r="K70" s="127"/>
      <c r="L70" s="127"/>
      <c r="M70" s="12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row>
    <row r="71" spans="1:132" s="32" customFormat="1" ht="18" customHeight="1">
      <c r="A71" s="234" t="s">
        <v>438</v>
      </c>
      <c r="B71" s="234"/>
      <c r="C71" s="63">
        <f>IF(I25="    --","    --",I25/100)</f>
        <v>0.78900289157343872</v>
      </c>
      <c r="E71" s="31" t="s">
        <v>254</v>
      </c>
      <c r="F71" s="31"/>
      <c r="G71" s="64">
        <f>G43/M5</f>
        <v>8.9468718709475539</v>
      </c>
    </row>
    <row r="72" spans="1:132" s="32" customFormat="1" ht="18" customHeight="1">
      <c r="A72" s="234" t="s">
        <v>439</v>
      </c>
      <c r="B72" s="234"/>
      <c r="C72" s="63">
        <f>IF(K25="    --","    --",K25/100)</f>
        <v>0.9856615666372428</v>
      </c>
      <c r="E72" s="31" t="s">
        <v>255</v>
      </c>
      <c r="F72" s="31"/>
      <c r="G72" s="63">
        <f>IF(SUM(G34:G38)=0,"    --",(G18+G24)/SUM(G34:G38))</f>
        <v>6.0434160063382692E-5</v>
      </c>
    </row>
    <row r="73" spans="1:132" s="32" customFormat="1" ht="18" customHeight="1">
      <c r="A73" s="234" t="s">
        <v>256</v>
      </c>
      <c r="B73" s="234"/>
      <c r="C73" s="64">
        <f>G25/M5</f>
        <v>8.2372415467196571</v>
      </c>
      <c r="E73" s="31" t="s">
        <v>257</v>
      </c>
      <c r="F73" s="31"/>
      <c r="G73" s="64">
        <f>(G18+G24)/M5</f>
        <v>5.2955180356002295E-4</v>
      </c>
      <c r="H73" s="31"/>
      <c r="I73" s="31"/>
      <c r="J73" s="31"/>
    </row>
    <row r="74" spans="1:132" s="32" customFormat="1" ht="18" customHeight="1">
      <c r="A74" s="234" t="s">
        <v>258</v>
      </c>
      <c r="B74" s="234"/>
      <c r="C74" s="64">
        <f>(G21+G22)/M5</f>
        <v>0.31090261469428837</v>
      </c>
      <c r="E74" s="31" t="s">
        <v>259</v>
      </c>
      <c r="F74" s="31"/>
      <c r="G74" s="63">
        <f>G64/E25</f>
        <v>0.12313513590672152</v>
      </c>
      <c r="H74" s="31"/>
      <c r="I74" s="31"/>
      <c r="J74" s="31"/>
    </row>
    <row r="75" spans="1:132" s="32" customFormat="1" ht="18" customHeight="1">
      <c r="A75" s="234" t="s">
        <v>260</v>
      </c>
      <c r="B75" s="234"/>
      <c r="C75" s="63">
        <f>SUM(G21+G22)/G25</f>
        <v>3.7743535008767599E-2</v>
      </c>
      <c r="E75" s="31" t="s">
        <v>261</v>
      </c>
      <c r="F75" s="31"/>
      <c r="G75" s="64">
        <f>(G34+G35+G36)/M5</f>
        <v>1.3789877394370285</v>
      </c>
      <c r="H75" s="31"/>
      <c r="I75" s="31"/>
      <c r="J75" s="31"/>
    </row>
    <row r="76" spans="1:132" s="32" customFormat="1" ht="18" customHeight="1">
      <c r="A76" s="234" t="s">
        <v>262</v>
      </c>
      <c r="B76" s="234"/>
      <c r="C76" s="65" t="str">
        <f>(INT(L25/G25*365)&amp;" días")</f>
        <v>5 días</v>
      </c>
      <c r="D76" s="31"/>
      <c r="E76" s="31" t="s">
        <v>263</v>
      </c>
      <c r="F76" s="31"/>
      <c r="G76" s="64">
        <f>G54</f>
        <v>3489001.5699999928</v>
      </c>
      <c r="H76" s="31"/>
      <c r="I76" s="31"/>
      <c r="J76" s="31"/>
    </row>
    <row r="77" spans="1:132" s="32" customFormat="1" ht="18" customHeight="1">
      <c r="A77" s="234" t="s">
        <v>440</v>
      </c>
      <c r="B77" s="234"/>
      <c r="C77" s="63">
        <f>IF(I43="    --","    --",I43/100)</f>
        <v>0.85697472104916672</v>
      </c>
      <c r="D77" s="31"/>
      <c r="E77" s="31" t="s">
        <v>264</v>
      </c>
      <c r="F77" s="31"/>
      <c r="G77" s="63">
        <f>IF(SUM(E34:E38)=0,"    --",SUM(E16:E21)/SUM(E34:E38))</f>
        <v>1.1479244419016525</v>
      </c>
    </row>
    <row r="78" spans="1:132" s="32" customFormat="1" ht="18" customHeight="1">
      <c r="A78" s="234" t="s">
        <v>441</v>
      </c>
      <c r="B78" s="234"/>
      <c r="C78" s="63">
        <f>IF(K43="    --","    --",K43/100)</f>
        <v>0.82167592956247237</v>
      </c>
      <c r="E78" s="31" t="s">
        <v>265</v>
      </c>
      <c r="F78" s="31"/>
      <c r="G78" s="63">
        <f>E16/E25</f>
        <v>0.63457170872525348</v>
      </c>
    </row>
    <row r="79" spans="1:132" s="32" customFormat="1" ht="18" customHeight="1">
      <c r="A79" s="234" t="s">
        <v>266</v>
      </c>
      <c r="B79" s="234"/>
      <c r="C79" s="63">
        <f>IF(G43=0,"    --",1-(G42/G43))</f>
        <v>1</v>
      </c>
      <c r="E79" s="31" t="s">
        <v>267</v>
      </c>
      <c r="F79" s="31"/>
      <c r="G79" s="63">
        <f>IF((E19+E22)=0,"    --",(E37+E40)/(E19+E22))</f>
        <v>8.5534324601847569</v>
      </c>
    </row>
    <row r="80" spans="1:132" s="32" customFormat="1" ht="18" customHeight="1">
      <c r="A80" s="234" t="s">
        <v>268</v>
      </c>
      <c r="B80" s="234"/>
      <c r="C80" s="65" t="str">
        <f>IF(G43=0,"    --",INT(M43/G43*365)&amp;" días")</f>
        <v>65 días</v>
      </c>
      <c r="E80" s="31" t="s">
        <v>269</v>
      </c>
      <c r="F80" s="31"/>
      <c r="G80" s="63">
        <f>IF((G18+G24)=0,"    --",((G34+G35+G36+G38)-(G16+G17+G18))/(G18+G24))</f>
        <v>-10771.343529178852</v>
      </c>
    </row>
    <row r="81" spans="1:10" s="32" customFormat="1" ht="18" customHeight="1" thickBot="1">
      <c r="A81" s="244" t="s">
        <v>270</v>
      </c>
      <c r="B81" s="244"/>
      <c r="C81" s="148">
        <f>G64/M5</f>
        <v>1.285538834121509</v>
      </c>
      <c r="E81" s="67" t="s">
        <v>271</v>
      </c>
      <c r="F81" s="67"/>
      <c r="G81" s="68">
        <f>IF(G43=0,"    --",SUM(G34:G36)/G43)</f>
        <v>0.15413071287126651</v>
      </c>
    </row>
    <row r="82" spans="1:10" ht="12.95" customHeight="1">
      <c r="A82" s="3"/>
    </row>
    <row r="83" spans="1:10" s="32" customFormat="1" ht="18" customHeight="1">
      <c r="A83" s="31" t="s">
        <v>272</v>
      </c>
    </row>
    <row r="84" spans="1:10" ht="12.95" customHeight="1">
      <c r="A84" s="3"/>
    </row>
    <row r="85" spans="1:10" ht="18" customHeight="1">
      <c r="A85" s="60" t="s">
        <v>458</v>
      </c>
    </row>
    <row r="86" spans="1:10" ht="18" customHeight="1">
      <c r="A86" s="31" t="s">
        <v>459</v>
      </c>
    </row>
    <row r="87" spans="1:10" ht="12.95" customHeight="1">
      <c r="A87" s="3"/>
    </row>
    <row r="88" spans="1:10" ht="12.95" hidden="1" customHeight="1" thickBot="1">
      <c r="A88" s="3"/>
    </row>
    <row r="89" spans="1:10" ht="12.95" hidden="1" customHeight="1">
      <c r="A89" s="3"/>
      <c r="B89" s="229" t="s">
        <v>314</v>
      </c>
      <c r="C89" s="232" t="s">
        <v>275</v>
      </c>
      <c r="D89" s="232"/>
      <c r="E89" s="232"/>
      <c r="F89" s="232" t="s">
        <v>276</v>
      </c>
      <c r="G89" s="232" t="s">
        <v>277</v>
      </c>
      <c r="H89" s="232" t="s">
        <v>278</v>
      </c>
      <c r="I89" s="232" t="s">
        <v>279</v>
      </c>
      <c r="J89" s="227" t="s">
        <v>280</v>
      </c>
    </row>
    <row r="90" spans="1:10" ht="12.95" hidden="1" customHeight="1">
      <c r="A90" s="3"/>
      <c r="B90" s="230"/>
      <c r="C90" s="154" t="s">
        <v>281</v>
      </c>
      <c r="D90" s="154" t="s">
        <v>282</v>
      </c>
      <c r="E90" s="154" t="s">
        <v>283</v>
      </c>
      <c r="F90" s="233"/>
      <c r="G90" s="233"/>
      <c r="H90" s="233"/>
      <c r="I90" s="233"/>
      <c r="J90" s="228"/>
    </row>
    <row r="91" spans="1:10" ht="12.95" hidden="1" customHeight="1">
      <c r="A91" s="3"/>
      <c r="B91" s="231"/>
      <c r="C91" s="158" t="s">
        <v>284</v>
      </c>
      <c r="D91" s="158" t="s">
        <v>285</v>
      </c>
      <c r="E91" s="158" t="s">
        <v>286</v>
      </c>
      <c r="F91" s="159" t="s">
        <v>287</v>
      </c>
      <c r="G91" s="159" t="s">
        <v>288</v>
      </c>
      <c r="H91" s="159" t="s">
        <v>289</v>
      </c>
      <c r="I91" s="159" t="s">
        <v>290</v>
      </c>
      <c r="J91" s="160" t="s">
        <v>291</v>
      </c>
    </row>
    <row r="92" spans="1:10" ht="12.95" hidden="1" customHeight="1">
      <c r="A92" s="3"/>
      <c r="B92" s="161" t="s">
        <v>292</v>
      </c>
      <c r="C92" s="119">
        <f>'[1]5100'!D5+'[2]5100'!D5+'[3]5100'!D5+'[5]5100'!D5+'[4]5100'!D5+'[6]5100'!D5+'[7]5100'!D5</f>
        <v>31983989.57</v>
      </c>
      <c r="D92" s="119">
        <f>'[1]5100'!E5+'[2]5100'!E5+'[3]5100'!E5+'[5]5100'!E5+'[4]5100'!E5+'[6]5100'!E5+'[7]5100'!E5</f>
        <v>875649.3600000001</v>
      </c>
      <c r="E92" s="119">
        <f>'[1]5100'!F5+'[2]5100'!F5+'[3]5100'!F5+'[5]5100'!F5+'[4]5100'!F5+'[6]5100'!F5+'[7]5100'!F5</f>
        <v>32859638.93</v>
      </c>
      <c r="F92" s="119">
        <f>'[1]5100'!G5+'[2]5100'!G5+'[3]5100'!G5+'[5]5100'!G5+'[4]5100'!G5+'[6]5100'!G5+'[7]5100'!G5</f>
        <v>28887418.849999998</v>
      </c>
      <c r="G92" s="119">
        <f>'[1]5100'!H5+'[2]5100'!H5+'[3]5100'!H5+'[5]5100'!H5+'[4]5100'!H5+'[6]5100'!H5+'[7]5100'!H5</f>
        <v>28466156.879999999</v>
      </c>
      <c r="H92" s="119">
        <f>'[1]5100'!I5+'[2]5100'!I5+'[3]5100'!I5+'[5]5100'!I5+'[4]5100'!I5+'[6]5100'!I5+'[7]5100'!I5</f>
        <v>4393482.05</v>
      </c>
      <c r="I92" s="119">
        <f>'[1]5100'!J5+'[2]5100'!J5+'[3]5100'!J5+'[5]5100'!J5+'[4]5100'!J5+'[6]5100'!J5+'[7]5100'!J5</f>
        <v>28415320.169999998</v>
      </c>
      <c r="J92" s="119">
        <f>'[1]5100'!K5+'[2]5100'!K5+'[3]5100'!K5+'[5]5100'!K5+'[4]5100'!K5+'[6]5100'!K5+'[7]5100'!K5</f>
        <v>50836.710000000719</v>
      </c>
    </row>
    <row r="93" spans="1:10" ht="12.95" hidden="1" customHeight="1">
      <c r="A93" s="3"/>
      <c r="B93" s="163" t="s">
        <v>293</v>
      </c>
      <c r="C93" s="119">
        <f>'[1]5100'!D6+'[2]5100'!D6+'[3]5100'!D6+'[5]5100'!D6+'[4]5100'!D6+'[6]5100'!D6+'[7]5100'!D6</f>
        <v>8349991.1699999999</v>
      </c>
      <c r="D93" s="119">
        <f>'[1]5100'!E6+'[2]5100'!E6+'[3]5100'!E6+'[5]5100'!E6+'[4]5100'!E6+'[6]5100'!E6+'[7]5100'!E6</f>
        <v>2026904.5300000003</v>
      </c>
      <c r="E93" s="119">
        <f>'[1]5100'!F6+'[2]5100'!F6+'[3]5100'!F6+'[5]5100'!F6+'[4]5100'!F6+'[6]5100'!F6+'[7]5100'!F6</f>
        <v>10376895.700000001</v>
      </c>
      <c r="F93" s="119">
        <f>'[1]5100'!G6+'[2]5100'!G6+'[3]5100'!G6+'[5]5100'!G6+'[4]5100'!G6+'[6]5100'!G6+'[7]5100'!G6</f>
        <v>7196587.5099999979</v>
      </c>
      <c r="G93" s="119">
        <f>'[1]5100'!H6+'[2]5100'!H6+'[3]5100'!H6+'[5]5100'!H6+'[4]5100'!H6+'[6]5100'!H6+'[7]5100'!H6</f>
        <v>6681190.4899999993</v>
      </c>
      <c r="H93" s="119">
        <f>'[1]5100'!I6+'[2]5100'!I6+'[3]5100'!I6+'[5]5100'!I6+'[4]5100'!I6+'[6]5100'!I6+'[7]5100'!I6</f>
        <v>3695705.2100000009</v>
      </c>
      <c r="I93" s="119">
        <f>'[1]5100'!J6+'[2]5100'!J6+'[3]5100'!J6+'[5]5100'!J6+'[4]5100'!J6+'[6]5100'!J6+'[7]5100'!J6</f>
        <v>6343003.2000000002</v>
      </c>
      <c r="J93" s="119">
        <f>'[1]5100'!K6+'[2]5100'!K6+'[3]5100'!K6+'[5]5100'!K6+'[4]5100'!K6+'[6]5100'!K6+'[7]5100'!K6</f>
        <v>338187.29000000004</v>
      </c>
    </row>
    <row r="94" spans="1:10" ht="12.95" hidden="1" customHeight="1">
      <c r="A94" s="3"/>
      <c r="B94" s="163" t="s">
        <v>294</v>
      </c>
      <c r="C94" s="119">
        <f>'[1]5100'!D7+'[2]5100'!D7+'[3]5100'!D7+'[5]5100'!D7+'[4]5100'!D7+'[6]5100'!D7+'[7]5100'!D7</f>
        <v>152280</v>
      </c>
      <c r="D94" s="119">
        <f>'[1]5100'!E7+'[2]5100'!E7+'[3]5100'!E7+'[5]5100'!E7+'[4]5100'!E7+'[6]5100'!E7+'[7]5100'!E7</f>
        <v>38325.1</v>
      </c>
      <c r="E94" s="119">
        <f>'[1]5100'!F7+'[2]5100'!F7+'[3]5100'!F7+'[5]5100'!F7+'[4]5100'!F7+'[6]5100'!F7+'[7]5100'!F7</f>
        <v>190605.1</v>
      </c>
      <c r="F94" s="119">
        <f>'[1]5100'!G7+'[2]5100'!G7+'[3]5100'!G7+'[5]5100'!G7+'[4]5100'!G7+'[6]5100'!G7+'[7]5100'!G7</f>
        <v>2626.56</v>
      </c>
      <c r="G94" s="119">
        <f>'[1]5100'!H7+'[2]5100'!H7+'[3]5100'!H7+'[5]5100'!H7+'[4]5100'!H7+'[6]5100'!H7+'[7]5100'!H7</f>
        <v>2626.56</v>
      </c>
      <c r="H94" s="119">
        <f>'[1]5100'!I7+'[2]5100'!I7+'[3]5100'!I7+'[5]5100'!I7+'[4]5100'!I7+'[6]5100'!I7+'[7]5100'!I7</f>
        <v>187978.54</v>
      </c>
      <c r="I94" s="119">
        <f>'[1]5100'!J7+'[2]5100'!J7+'[3]5100'!J7+'[5]5100'!J7+'[4]5100'!J7+'[6]5100'!J7+'[7]5100'!J7</f>
        <v>2626.56</v>
      </c>
      <c r="J94" s="119">
        <f>'[1]5100'!K7+'[2]5100'!K7+'[3]5100'!K7+'[5]5100'!K7+'[4]5100'!K7+'[6]5100'!K7+'[7]5100'!K7</f>
        <v>0</v>
      </c>
    </row>
    <row r="95" spans="1:10" ht="12.95" hidden="1" customHeight="1">
      <c r="A95" s="3"/>
      <c r="B95" s="163" t="s">
        <v>295</v>
      </c>
      <c r="C95" s="119">
        <f>'[1]5100'!D8+'[2]5100'!D8+'[3]5100'!D8+'[5]5100'!D8+'[4]5100'!D8+'[6]5100'!D8+'[7]5100'!D8</f>
        <v>4336074.4399999995</v>
      </c>
      <c r="D95" s="119">
        <f>'[1]5100'!E8+'[2]5100'!E8+'[3]5100'!E8+'[5]5100'!E8+'[4]5100'!E8+'[6]5100'!E8+'[7]5100'!E8</f>
        <v>234353.52</v>
      </c>
      <c r="E95" s="119">
        <f>'[1]5100'!F8+'[2]5100'!F8+'[3]5100'!F8+'[5]5100'!F8+'[4]5100'!F8+'[6]5100'!F8+'[7]5100'!F8</f>
        <v>4570427.96</v>
      </c>
      <c r="F95" s="119">
        <f>'[1]5100'!G8+'[2]5100'!G8+'[3]5100'!G8+'[5]5100'!G8+'[4]5100'!G8+'[6]5100'!G8+'[7]5100'!G8</f>
        <v>4223256.8600000003</v>
      </c>
      <c r="G95" s="119">
        <f>'[1]5100'!H8+'[2]5100'!H8+'[3]5100'!H8+'[5]5100'!H8+'[4]5100'!H8+'[6]5100'!H8+'[7]5100'!H8</f>
        <v>4111307.4299999997</v>
      </c>
      <c r="H95" s="119">
        <f>'[1]5100'!I8+'[2]5100'!I8+'[3]5100'!I8+'[5]5100'!I8+'[4]5100'!I8+'[6]5100'!I8+'[7]5100'!I8</f>
        <v>459120.53000000026</v>
      </c>
      <c r="I95" s="119">
        <f>'[1]5100'!J8+'[2]5100'!J8+'[3]5100'!J8+'[5]5100'!J8+'[4]5100'!J8+'[6]5100'!J8+'[7]5100'!J8</f>
        <v>3993480.1799999997</v>
      </c>
      <c r="J95" s="119">
        <f>'[1]5100'!K8+'[2]5100'!K8+'[3]5100'!K8+'[5]5100'!K8+'[4]5100'!K8+'[6]5100'!K8+'[7]5100'!K8</f>
        <v>117827.25</v>
      </c>
    </row>
    <row r="96" spans="1:10" ht="12.95" hidden="1" customHeight="1">
      <c r="A96" s="3"/>
      <c r="B96" s="163" t="s">
        <v>494</v>
      </c>
      <c r="C96" s="119">
        <f>'[1]5100'!D9+'[2]5100'!D9+'[3]5100'!D9+'[5]5100'!D9+'[4]5100'!D9+'[6]5100'!D9+'[7]5100'!D9</f>
        <v>0</v>
      </c>
      <c r="D96" s="119">
        <f>'[1]5100'!E9+'[2]5100'!E9+'[3]5100'!E9+'[5]5100'!E9+'[4]5100'!E9+'[6]5100'!E9+'[7]5100'!E9</f>
        <v>0</v>
      </c>
      <c r="E96" s="119">
        <f>'[1]5100'!F9+'[2]5100'!F9+'[3]5100'!F9+'[5]5100'!F9+'[4]5100'!F9+'[6]5100'!F9+'[7]5100'!F9</f>
        <v>0</v>
      </c>
      <c r="F96" s="119">
        <f>'[1]5100'!G9+'[2]5100'!G9+'[3]5100'!G9+'[5]5100'!G9+'[4]5100'!G9+'[6]5100'!G9+'[7]5100'!G9</f>
        <v>0</v>
      </c>
      <c r="G96" s="119">
        <f>'[1]5100'!H9+'[2]5100'!H9+'[3]5100'!H9+'[5]5100'!H9+'[4]5100'!H9+'[6]5100'!H9+'[7]5100'!H9</f>
        <v>0</v>
      </c>
      <c r="H96" s="119">
        <f>'[1]5100'!I9+'[2]5100'!I9+'[3]5100'!I9+'[5]5100'!I9+'[4]5100'!I9+'[6]5100'!I9+'[7]5100'!I9</f>
        <v>0</v>
      </c>
      <c r="I96" s="119">
        <f>'[1]5100'!J9+'[2]5100'!J9+'[3]5100'!J9+'[5]5100'!J9+'[4]5100'!J9+'[6]5100'!J9+'[7]5100'!J9</f>
        <v>0</v>
      </c>
      <c r="J96" s="119">
        <f>'[1]5100'!K9+'[2]5100'!K9+'[3]5100'!K9+'[5]5100'!K9+'[4]5100'!K9+'[6]5100'!K9+'[7]5100'!K9</f>
        <v>0</v>
      </c>
    </row>
    <row r="97" spans="1:10" ht="12.95" hidden="1" customHeight="1">
      <c r="A97" s="3"/>
      <c r="B97" s="163" t="s">
        <v>296</v>
      </c>
      <c r="C97" s="119">
        <f>'[1]5100'!D10+'[2]5100'!D10+'[3]5100'!D10+'[5]5100'!D10+'[4]5100'!D10+'[6]5100'!D10+'[7]5100'!D10</f>
        <v>945820</v>
      </c>
      <c r="D97" s="119">
        <f>'[1]5100'!E10+'[2]5100'!E10+'[3]5100'!E10+'[5]5100'!E10+'[4]5100'!E10+'[6]5100'!E10+'[7]5100'!E10</f>
        <v>2716080.1700000004</v>
      </c>
      <c r="E97" s="119">
        <f>'[1]5100'!F10+'[2]5100'!F10+'[3]5100'!F10+'[5]5100'!F10+'[4]5100'!F10+'[6]5100'!F10+'[7]5100'!F10</f>
        <v>3661900.1700000004</v>
      </c>
      <c r="F97" s="119">
        <f>'[1]5100'!G10+'[2]5100'!G10+'[3]5100'!G10+'[5]5100'!G10+'[4]5100'!G10+'[6]5100'!G10+'[7]5100'!G10</f>
        <v>1829792.25</v>
      </c>
      <c r="G97" s="119">
        <f>'[1]5100'!H10+'[2]5100'!H10+'[3]5100'!H10+'[5]5100'!H10+'[4]5100'!H10+'[6]5100'!H10+'[7]5100'!H10</f>
        <v>1542067.02</v>
      </c>
      <c r="H97" s="119">
        <f>'[1]5100'!I10+'[2]5100'!I10+'[3]5100'!I10+'[5]5100'!I10+'[4]5100'!I10+'[6]5100'!I10+'[7]5100'!I10</f>
        <v>2119833.15</v>
      </c>
      <c r="I97" s="119">
        <f>'[1]5100'!J10+'[2]5100'!J10+'[3]5100'!J10+'[5]5100'!J10+'[4]5100'!J10+'[6]5100'!J10+'[7]5100'!J10</f>
        <v>1463100.7200000002</v>
      </c>
      <c r="J97" s="119">
        <f>'[1]5100'!K10+'[2]5100'!K10+'[3]5100'!K10+'[5]5100'!K10+'[4]5100'!K10+'[6]5100'!K10+'[7]5100'!K10</f>
        <v>78966.300000000032</v>
      </c>
    </row>
    <row r="98" spans="1:10" ht="12.95" hidden="1" customHeight="1">
      <c r="A98" s="3"/>
      <c r="B98" s="163" t="s">
        <v>297</v>
      </c>
      <c r="C98" s="119">
        <f>'[1]5100'!D11+'[2]5100'!D11+'[3]5100'!D11+'[5]5100'!D11+'[4]5100'!D11+'[6]5100'!D11+'[7]5100'!D11</f>
        <v>0</v>
      </c>
      <c r="D98" s="119">
        <f>'[1]5100'!E11+'[2]5100'!E11+'[3]5100'!E11+'[5]5100'!E11+'[4]5100'!E11+'[6]5100'!E11+'[7]5100'!E11</f>
        <v>0</v>
      </c>
      <c r="E98" s="119">
        <f>'[1]5100'!F11+'[2]5100'!F11+'[3]5100'!F11+'[5]5100'!F11+'[4]5100'!F11+'[6]5100'!F11+'[7]5100'!F11</f>
        <v>0</v>
      </c>
      <c r="F98" s="119">
        <f>'[1]5100'!G11+'[2]5100'!G11+'[3]5100'!G11+'[5]5100'!G11+'[4]5100'!G11+'[6]5100'!G11+'[7]5100'!G11</f>
        <v>0</v>
      </c>
      <c r="G98" s="119">
        <f>'[1]5100'!H11+'[2]5100'!H11+'[3]5100'!H11+'[5]5100'!H11+'[4]5100'!H11+'[6]5100'!H11+'[7]5100'!H11</f>
        <v>0</v>
      </c>
      <c r="H98" s="119">
        <f>'[1]5100'!I11+'[2]5100'!I11+'[3]5100'!I11+'[5]5100'!I11+'[4]5100'!I11+'[6]5100'!I11+'[7]5100'!I11</f>
        <v>0</v>
      </c>
      <c r="I98" s="119">
        <f>'[1]5100'!J11+'[2]5100'!J11+'[3]5100'!J11+'[5]5100'!J11+'[4]5100'!J11+'[6]5100'!J11+'[7]5100'!J11</f>
        <v>0</v>
      </c>
      <c r="J98" s="119">
        <f>'[1]5100'!K11+'[2]5100'!K11+'[3]5100'!K11+'[5]5100'!K11+'[4]5100'!K11+'[6]5100'!K11+'[7]5100'!K11</f>
        <v>0</v>
      </c>
    </row>
    <row r="99" spans="1:10" ht="12.95" hidden="1" customHeight="1">
      <c r="A99" s="3"/>
      <c r="B99" s="163" t="s">
        <v>298</v>
      </c>
      <c r="C99" s="119">
        <f>'[1]5100'!D12+'[2]5100'!D12+'[3]5100'!D12+'[5]5100'!D12+'[4]5100'!D12+'[6]5100'!D12+'[7]5100'!D12</f>
        <v>24060</v>
      </c>
      <c r="D99" s="119">
        <f>'[1]5100'!E12+'[2]5100'!E12+'[3]5100'!E12+'[5]5100'!E12+'[4]5100'!E12+'[6]5100'!E12+'[7]5100'!E12</f>
        <v>98860.92</v>
      </c>
      <c r="E99" s="119">
        <f>'[1]5100'!F12+'[2]5100'!F12+'[3]5100'!F12+'[5]5100'!F12+'[4]5100'!F12+'[6]5100'!F12+'[7]5100'!F12</f>
        <v>122920.92</v>
      </c>
      <c r="F99" s="119">
        <f>'[1]5100'!G12+'[2]5100'!G12+'[3]5100'!G12+'[5]5100'!G12+'[4]5100'!G12+'[6]5100'!G12+'[7]5100'!G12</f>
        <v>53106.1</v>
      </c>
      <c r="G99" s="119">
        <f>'[1]5100'!H12+'[2]5100'!H12+'[3]5100'!H12+'[5]5100'!H12+'[4]5100'!H12+'[6]5100'!H12+'[7]5100'!H12</f>
        <v>53106.1</v>
      </c>
      <c r="H99" s="119">
        <f>'[1]5100'!I12+'[2]5100'!I12+'[3]5100'!I12+'[5]5100'!I12+'[4]5100'!I12+'[6]5100'!I12+'[7]5100'!I12</f>
        <v>69814.820000000007</v>
      </c>
      <c r="I99" s="119">
        <f>'[1]5100'!J12+'[2]5100'!J12+'[3]5100'!J12+'[5]5100'!J12+'[4]5100'!J12+'[6]5100'!J12+'[7]5100'!J12</f>
        <v>53106.1</v>
      </c>
      <c r="J99" s="119">
        <f>'[1]5100'!K12+'[2]5100'!K12+'[3]5100'!K12+'[5]5100'!K12+'[4]5100'!K12+'[6]5100'!K12+'[7]5100'!K12</f>
        <v>0</v>
      </c>
    </row>
    <row r="100" spans="1:10" ht="12.95" hidden="1" customHeight="1">
      <c r="A100" s="3"/>
      <c r="B100" s="163" t="s">
        <v>299</v>
      </c>
      <c r="C100" s="119">
        <f>'[1]5100'!D13+'[2]5100'!D13+'[3]5100'!D13+'[5]5100'!D13+'[4]5100'!D13+'[6]5100'!D13+'[7]5100'!D13</f>
        <v>0</v>
      </c>
      <c r="D100" s="119">
        <f>'[1]5100'!E13+'[2]5100'!E13+'[3]5100'!E13+'[5]5100'!E13+'[4]5100'!E13+'[6]5100'!E13+'[7]5100'!E13</f>
        <v>0</v>
      </c>
      <c r="E100" s="119">
        <f>'[1]5100'!F13+'[2]5100'!F13+'[3]5100'!F13+'[5]5100'!F13+'[4]5100'!F13+'[6]5100'!F13+'[7]5100'!F13</f>
        <v>0</v>
      </c>
      <c r="F100" s="119">
        <f>'[1]5100'!G13+'[2]5100'!G13+'[3]5100'!G13+'[5]5100'!G13+'[4]5100'!G13+'[6]5100'!G13+'[7]5100'!G13</f>
        <v>0</v>
      </c>
      <c r="G100" s="119">
        <f>'[1]5100'!H13+'[2]5100'!H13+'[3]5100'!H13+'[5]5100'!H13+'[4]5100'!H13+'[6]5100'!H13+'[7]5100'!H13</f>
        <v>0</v>
      </c>
      <c r="H100" s="119">
        <f>'[1]5100'!I13+'[2]5100'!I13+'[3]5100'!I13+'[5]5100'!I13+'[4]5100'!I13+'[6]5100'!I13+'[7]5100'!I13</f>
        <v>0</v>
      </c>
      <c r="I100" s="119">
        <f>'[1]5100'!J13+'[2]5100'!J13+'[3]5100'!J13+'[5]5100'!J13+'[4]5100'!J13+'[6]5100'!J13+'[7]5100'!J13</f>
        <v>0</v>
      </c>
      <c r="J100" s="119">
        <f>'[1]5100'!K13+'[2]5100'!K13+'[3]5100'!K13+'[5]5100'!K13+'[4]5100'!K13+'[6]5100'!K13+'[7]5100'!K13</f>
        <v>0</v>
      </c>
    </row>
    <row r="101" spans="1:10" ht="12.95" hidden="1" customHeight="1" thickBot="1">
      <c r="A101" s="3"/>
      <c r="B101" s="164" t="s">
        <v>300</v>
      </c>
      <c r="C101" s="165">
        <f t="shared" ref="C101:J101" si="16">SUM(C92:C100)</f>
        <v>45792215.18</v>
      </c>
      <c r="D101" s="165">
        <f t="shared" si="16"/>
        <v>5990173.6000000015</v>
      </c>
      <c r="E101" s="165">
        <f t="shared" si="16"/>
        <v>51782388.780000009</v>
      </c>
      <c r="F101" s="165">
        <f t="shared" si="16"/>
        <v>42192788.130000003</v>
      </c>
      <c r="G101" s="165">
        <f t="shared" si="16"/>
        <v>40856454.480000004</v>
      </c>
      <c r="H101" s="165">
        <f t="shared" si="16"/>
        <v>10925934.300000003</v>
      </c>
      <c r="I101" s="165">
        <f t="shared" si="16"/>
        <v>40270636.93</v>
      </c>
      <c r="J101" s="166">
        <f t="shared" si="16"/>
        <v>585817.55000000075</v>
      </c>
    </row>
    <row r="102" spans="1:10" ht="12.95" hidden="1" customHeight="1">
      <c r="A102" s="3"/>
    </row>
    <row r="103" spans="1:10" ht="12.95" hidden="1" customHeight="1" thickBot="1">
      <c r="A103" s="3"/>
    </row>
    <row r="104" spans="1:10" ht="12.95" hidden="1" customHeight="1">
      <c r="A104" s="3"/>
      <c r="B104" s="150" t="s">
        <v>315</v>
      </c>
      <c r="C104" s="171" t="s">
        <v>301</v>
      </c>
      <c r="D104" s="172"/>
      <c r="E104" s="173"/>
      <c r="F104" s="151" t="s">
        <v>302</v>
      </c>
      <c r="G104" s="151" t="s">
        <v>303</v>
      </c>
      <c r="H104" s="151" t="s">
        <v>304</v>
      </c>
      <c r="I104" s="152" t="s">
        <v>305</v>
      </c>
    </row>
    <row r="105" spans="1:10" ht="12.95" hidden="1" customHeight="1">
      <c r="A105" s="3"/>
      <c r="B105" s="153"/>
      <c r="C105" s="154" t="s">
        <v>281</v>
      </c>
      <c r="D105" s="154" t="s">
        <v>282</v>
      </c>
      <c r="E105" s="154" t="s">
        <v>283</v>
      </c>
      <c r="F105" s="155"/>
      <c r="G105" s="155"/>
      <c r="H105" s="155"/>
      <c r="I105" s="156"/>
    </row>
    <row r="106" spans="1:10" ht="12.95" hidden="1" customHeight="1">
      <c r="A106" s="3"/>
      <c r="B106" s="157"/>
      <c r="C106" s="158" t="s">
        <v>284</v>
      </c>
      <c r="D106" s="158" t="s">
        <v>285</v>
      </c>
      <c r="E106" s="158" t="s">
        <v>286</v>
      </c>
      <c r="F106" s="159" t="s">
        <v>288</v>
      </c>
      <c r="G106" s="159" t="s">
        <v>287</v>
      </c>
      <c r="H106" s="159" t="s">
        <v>289</v>
      </c>
      <c r="I106" s="160" t="s">
        <v>290</v>
      </c>
    </row>
    <row r="107" spans="1:10" ht="12.95" hidden="1" customHeight="1">
      <c r="A107" s="3"/>
      <c r="B107" s="161" t="s">
        <v>306</v>
      </c>
      <c r="C107" s="119">
        <f>'[1]5100'!D20+'[2]5100'!D20+'[3]5100'!D20+'[4]5100'!D20+'[5]5100'!D20+'[6]5100'!D20+'[7]5100'!D20</f>
        <v>0</v>
      </c>
      <c r="D107" s="119">
        <f>'[1]5100'!E20+'[2]5100'!E20+'[3]5100'!E20+'[4]5100'!E20+'[5]5100'!E20+'[6]5100'!E20+'[7]5100'!E20</f>
        <v>0</v>
      </c>
      <c r="E107" s="119">
        <f>'[1]5100'!F20+'[2]5100'!F20+'[3]5100'!F20+'[4]5100'!F20+'[5]5100'!F20+'[6]5100'!F20+'[7]5100'!F20</f>
        <v>0</v>
      </c>
      <c r="F107" s="119">
        <f>'[1]5100'!G20+'[2]5100'!G20+'[3]5100'!G20+'[4]5100'!G20+'[5]5100'!G20+'[6]5100'!G20+'[7]5100'!G20</f>
        <v>0</v>
      </c>
      <c r="G107" s="119">
        <f>'[1]5100'!H20+'[2]5100'!H20+'[3]5100'!H20+'[4]5100'!H20+'[5]5100'!H20+'[6]5100'!H20+'[7]5100'!H20</f>
        <v>0</v>
      </c>
      <c r="H107" s="119">
        <f>'[1]5100'!I20+'[2]5100'!I20+'[3]5100'!I20+'[4]5100'!I20+'[5]5100'!I20+'[6]5100'!I20+'[7]5100'!I20</f>
        <v>0</v>
      </c>
      <c r="I107" s="119">
        <f>'[1]5100'!J20+'[2]5100'!J20+'[3]5100'!J20+'[4]5100'!J20+'[5]5100'!J20+'[6]5100'!J20+'[7]5100'!J20</f>
        <v>0</v>
      </c>
    </row>
    <row r="108" spans="1:10" ht="12.95" hidden="1" customHeight="1">
      <c r="A108" s="3"/>
      <c r="B108" s="163" t="s">
        <v>307</v>
      </c>
      <c r="C108" s="119">
        <f>'[1]5100'!D21+'[2]5100'!D21+'[3]5100'!D21+'[4]5100'!D21+'[5]5100'!D21+'[6]5100'!D21+'[7]5100'!D21</f>
        <v>0</v>
      </c>
      <c r="D108" s="119">
        <f>'[1]5100'!E21+'[2]5100'!E21+'[3]5100'!E21+'[4]5100'!E21+'[5]5100'!E21+'[6]5100'!E21+'[7]5100'!E21</f>
        <v>0</v>
      </c>
      <c r="E108" s="119">
        <f>'[1]5100'!F21+'[2]5100'!F21+'[3]5100'!F21+'[4]5100'!F21+'[5]5100'!F21+'[6]5100'!F21+'[7]5100'!F21</f>
        <v>0</v>
      </c>
      <c r="F108" s="119">
        <f>'[1]5100'!G21+'[2]5100'!G21+'[3]5100'!G21+'[4]5100'!G21+'[5]5100'!G21+'[6]5100'!G21+'[7]5100'!G21</f>
        <v>0</v>
      </c>
      <c r="G108" s="119">
        <f>'[1]5100'!H21+'[2]5100'!H21+'[3]5100'!H21+'[4]5100'!H21+'[5]5100'!H21+'[6]5100'!H21+'[7]5100'!H21</f>
        <v>0</v>
      </c>
      <c r="H108" s="119">
        <f>'[1]5100'!I21+'[2]5100'!I21+'[3]5100'!I21+'[4]5100'!I21+'[5]5100'!I21+'[6]5100'!I21+'[7]5100'!I21</f>
        <v>0</v>
      </c>
      <c r="I108" s="119">
        <f>'[1]5100'!J21+'[2]5100'!J21+'[3]5100'!J21+'[4]5100'!J21+'[5]5100'!J21+'[6]5100'!J21+'[7]5100'!J21</f>
        <v>0</v>
      </c>
    </row>
    <row r="109" spans="1:10" ht="12.95" hidden="1" customHeight="1">
      <c r="A109" s="3"/>
      <c r="B109" s="163" t="s">
        <v>308</v>
      </c>
      <c r="C109" s="119">
        <f>'[1]5100'!D22+'[2]5100'!D22+'[3]5100'!D22+'[4]5100'!D22+'[5]5100'!D22+'[6]5100'!D22+'[7]5100'!D22</f>
        <v>6751250</v>
      </c>
      <c r="D109" s="119">
        <f>'[1]5100'!E22+'[2]5100'!E22+'[3]5100'!E22+'[4]5100'!E22+'[5]5100'!E22+'[6]5100'!E22+'[7]5100'!E22</f>
        <v>0</v>
      </c>
      <c r="E109" s="119">
        <f>'[1]5100'!F22+'[2]5100'!F22+'[3]5100'!F22+'[4]5100'!F22+'[5]5100'!F22+'[6]5100'!F22+'[7]5100'!F22</f>
        <v>6751250</v>
      </c>
      <c r="F109" s="119">
        <f>'[1]5100'!G22+'[2]5100'!G22+'[3]5100'!G22+'[4]5100'!G22+'[5]5100'!G22+'[6]5100'!G22+'[7]5100'!G22</f>
        <v>6839735.0599999996</v>
      </c>
      <c r="G109" s="119">
        <f>'[1]5100'!H22+'[2]5100'!H22+'[3]5100'!H22+'[4]5100'!H22+'[5]5100'!H22+'[6]5100'!H22+'[7]5100'!H22</f>
        <v>4911609.1399999997</v>
      </c>
      <c r="H109" s="119">
        <f>'[1]5100'!I22+'[2]5100'!I22+'[3]5100'!I22+'[4]5100'!I22+'[5]5100'!I22+'[6]5100'!I22+'[7]5100'!I22</f>
        <v>0</v>
      </c>
      <c r="I109" s="119">
        <f>'[1]5100'!J22+'[2]5100'!J22+'[3]5100'!J22+'[4]5100'!J22+'[5]5100'!J22+'[6]5100'!J22+'[7]5100'!J22</f>
        <v>1928125.9199999997</v>
      </c>
    </row>
    <row r="110" spans="1:10" ht="12.95" hidden="1" customHeight="1">
      <c r="A110" s="3"/>
      <c r="B110" s="163" t="s">
        <v>295</v>
      </c>
      <c r="C110" s="119">
        <f>'[1]5100'!D23+'[2]5100'!D23+'[3]5100'!D23+'[4]5100'!D23+'[5]5100'!D23+'[6]5100'!D23+'[7]5100'!D23</f>
        <v>38202245.18</v>
      </c>
      <c r="D110" s="119">
        <f>'[1]5100'!E23+'[2]5100'!E23+'[3]5100'!E23+'[4]5100'!E23+'[5]5100'!E23+'[6]5100'!E23+'[7]5100'!E23</f>
        <v>47003.22</v>
      </c>
      <c r="E110" s="119">
        <f>'[1]5100'!F23+'[2]5100'!F23+'[3]5100'!F23+'[4]5100'!F23+'[5]5100'!F23+'[6]5100'!F23+'[7]5100'!F23</f>
        <v>38249248.399999999</v>
      </c>
      <c r="F110" s="119">
        <f>'[1]5100'!G23+'[2]5100'!G23+'[3]5100'!G23+'[4]5100'!G23+'[5]5100'!G23+'[6]5100'!G23+'[7]5100'!G23</f>
        <v>36603118.579999998</v>
      </c>
      <c r="G110" s="119">
        <f>'[1]5100'!H23+'[2]5100'!H23+'[3]5100'!H23+'[4]5100'!H23+'[5]5100'!H23+'[6]5100'!H23+'[7]5100'!H23</f>
        <v>30888300.930000003</v>
      </c>
      <c r="H110" s="119">
        <f>'[1]5100'!I23+'[2]5100'!I23+'[3]5100'!I23+'[4]5100'!I23+'[5]5100'!I23+'[6]5100'!I23+'[7]5100'!I23</f>
        <v>698230.71</v>
      </c>
      <c r="I110" s="119">
        <f>'[1]5100'!J23+'[2]5100'!J23+'[3]5100'!J23+'[4]5100'!J23+'[5]5100'!J23+'[6]5100'!J23+'[7]5100'!J23</f>
        <v>5714817.6499999985</v>
      </c>
    </row>
    <row r="111" spans="1:10" ht="12.95" hidden="1" customHeight="1">
      <c r="A111" s="3"/>
      <c r="B111" s="163" t="s">
        <v>309</v>
      </c>
      <c r="C111" s="119">
        <f>'[1]5100'!D24+'[2]5100'!D24+'[3]5100'!D24+'[4]5100'!D24+'[5]5100'!D24+'[6]5100'!D24+'[7]5100'!D24</f>
        <v>2000</v>
      </c>
      <c r="D111" s="119">
        <f>'[1]5100'!E24+'[2]5100'!E24+'[3]5100'!E24+'[4]5100'!E24+'[5]5100'!E24+'[6]5100'!E24+'[7]5100'!E24</f>
        <v>0</v>
      </c>
      <c r="E111" s="119">
        <f>'[1]5100'!F24+'[2]5100'!F24+'[3]5100'!F24+'[4]5100'!F24+'[5]5100'!F24+'[6]5100'!F24+'[7]5100'!F24</f>
        <v>2000</v>
      </c>
      <c r="F111" s="119">
        <f>'[1]5100'!G24+'[2]5100'!G24+'[3]5100'!G24+'[4]5100'!G24+'[5]5100'!G24+'[6]5100'!G24+'[7]5100'!G24</f>
        <v>18658.810000000001</v>
      </c>
      <c r="G111" s="119">
        <f>'[1]5100'!H24+'[2]5100'!H24+'[3]5100'!H24+'[4]5100'!H24+'[5]5100'!H24+'[6]5100'!H24+'[7]5100'!H24</f>
        <v>12204.73</v>
      </c>
      <c r="H111" s="119">
        <f>'[1]5100'!I24+'[2]5100'!I24+'[3]5100'!I24+'[4]5100'!I24+'[5]5100'!I24+'[6]5100'!I24+'[7]5100'!I24</f>
        <v>0</v>
      </c>
      <c r="I111" s="119">
        <f>'[1]5100'!J24+'[2]5100'!J24+'[3]5100'!J24+'[4]5100'!J24+'[5]5100'!J24+'[6]5100'!J24+'[7]5100'!J24</f>
        <v>6454.08</v>
      </c>
    </row>
    <row r="112" spans="1:10" ht="12.95" hidden="1" customHeight="1">
      <c r="A112" s="3"/>
      <c r="B112" s="163" t="s">
        <v>310</v>
      </c>
      <c r="C112" s="119">
        <f>'[1]5100'!D25+'[2]5100'!D25+'[3]5100'!D25+'[4]5100'!D25+'[5]5100'!D25+'[6]5100'!D25+'[7]5100'!D25</f>
        <v>0</v>
      </c>
      <c r="D112" s="119">
        <f>'[1]5100'!E25+'[2]5100'!E25+'[3]5100'!E25+'[4]5100'!E25+'[5]5100'!E25+'[6]5100'!E25+'[7]5100'!E25</f>
        <v>0</v>
      </c>
      <c r="E112" s="119">
        <f>'[1]5100'!F25+'[2]5100'!F25+'[3]5100'!F25+'[4]5100'!F25+'[5]5100'!F25+'[6]5100'!F25+'[7]5100'!F25</f>
        <v>0</v>
      </c>
      <c r="F112" s="119">
        <f>'[1]5100'!G25+'[2]5100'!G25+'[3]5100'!G25+'[4]5100'!G25+'[5]5100'!G25+'[6]5100'!G25+'[7]5100'!G25</f>
        <v>0</v>
      </c>
      <c r="G112" s="119">
        <f>'[1]5100'!H25+'[2]5100'!H25+'[3]5100'!H25+'[4]5100'!H25+'[5]5100'!H25+'[6]5100'!H25+'[7]5100'!H25</f>
        <v>0</v>
      </c>
      <c r="H112" s="119">
        <f>'[1]5100'!I25+'[2]5100'!I25+'[3]5100'!I25+'[4]5100'!I25+'[5]5100'!I25+'[6]5100'!I25+'[7]5100'!I25</f>
        <v>0</v>
      </c>
      <c r="I112" s="119">
        <f>'[1]5100'!J25+'[2]5100'!J25+'[3]5100'!J25+'[4]5100'!J25+'[5]5100'!J25+'[6]5100'!J25+'[7]5100'!J25</f>
        <v>0</v>
      </c>
    </row>
    <row r="113" spans="1:10" ht="12.95" hidden="1" customHeight="1">
      <c r="A113" s="3"/>
      <c r="B113" s="163" t="s">
        <v>297</v>
      </c>
      <c r="C113" s="119">
        <f>'[1]5100'!D26+'[2]5100'!D26+'[3]5100'!D26+'[4]5100'!D26+'[5]5100'!D26+'[6]5100'!D26+'[7]5100'!D26</f>
        <v>836720</v>
      </c>
      <c r="D113" s="119">
        <f>'[1]5100'!E26+'[2]5100'!E26+'[3]5100'!E26+'[4]5100'!E26+'[5]5100'!E26+'[6]5100'!E26+'[7]5100'!E26</f>
        <v>6878.47</v>
      </c>
      <c r="E113" s="119">
        <f>'[1]5100'!F26+'[2]5100'!F26+'[3]5100'!F26+'[4]5100'!F26+'[5]5100'!F26+'[6]5100'!F26+'[7]5100'!F26</f>
        <v>843598.47</v>
      </c>
      <c r="F113" s="119">
        <f>'[1]5100'!G26+'[2]5100'!G26+'[3]5100'!G26+'[4]5100'!G26+'[5]5100'!G26+'[6]5100'!G26+'[7]5100'!G26</f>
        <v>830837.5</v>
      </c>
      <c r="G113" s="119">
        <f>'[1]5100'!H26+'[2]5100'!H26+'[3]5100'!H26+'[4]5100'!H26+'[5]5100'!H26+'[6]5100'!H26+'[7]5100'!H26</f>
        <v>566990.86</v>
      </c>
      <c r="H113" s="119">
        <f>'[1]5100'!I26+'[2]5100'!I26+'[3]5100'!I26+'[4]5100'!I26+'[5]5100'!I26+'[6]5100'!I26+'[7]5100'!I26</f>
        <v>0</v>
      </c>
      <c r="I113" s="119">
        <f>'[1]5100'!J26+'[2]5100'!J26+'[3]5100'!J26+'[4]5100'!J26+'[5]5100'!J26+'[6]5100'!J26+'[7]5100'!J26</f>
        <v>263846.64</v>
      </c>
    </row>
    <row r="114" spans="1:10" ht="12.95" hidden="1" customHeight="1">
      <c r="A114" s="3"/>
      <c r="B114" s="163" t="s">
        <v>298</v>
      </c>
      <c r="C114" s="119">
        <f>'[1]5100'!D27+'[2]5100'!D27+'[3]5100'!D27+'[4]5100'!D27+'[5]5100'!D27+'[6]5100'!D27+'[7]5100'!D27</f>
        <v>0</v>
      </c>
      <c r="D114" s="119">
        <f>'[1]5100'!E27+'[2]5100'!E27+'[3]5100'!E27+'[4]5100'!E27+'[5]5100'!E27+'[6]5100'!E27+'[7]5100'!E27</f>
        <v>5936291.9100000001</v>
      </c>
      <c r="E114" s="119">
        <f>'[1]5100'!F27+'[2]5100'!F27+'[3]5100'!F27+'[4]5100'!F27+'[5]5100'!F27+'[6]5100'!F27+'[7]5100'!F27</f>
        <v>5936291.9100000001</v>
      </c>
      <c r="F114" s="119">
        <f>'[1]5100'!G27+'[2]5100'!G27+'[3]5100'!G27+'[4]5100'!G27+'[5]5100'!G27+'[6]5100'!G27+'[7]5100'!G27</f>
        <v>83848.23</v>
      </c>
      <c r="G114" s="119">
        <f>'[1]5100'!H27+'[2]5100'!H27+'[3]5100'!H27+'[4]5100'!H27+'[5]5100'!H27+'[6]5100'!H27+'[7]5100'!H27</f>
        <v>83748.23</v>
      </c>
      <c r="H114" s="119">
        <f>'[1]5100'!I27+'[2]5100'!I27+'[3]5100'!I27+'[4]5100'!I27+'[5]5100'!I27+'[6]5100'!I27+'[7]5100'!I27</f>
        <v>0</v>
      </c>
      <c r="I114" s="119">
        <f>'[1]5100'!J27+'[2]5100'!J27+'[3]5100'!J27+'[4]5100'!J27+'[5]5100'!J27+'[6]5100'!J27+'[7]5100'!J27</f>
        <v>100</v>
      </c>
    </row>
    <row r="115" spans="1:10" ht="12.95" hidden="1" customHeight="1">
      <c r="A115" s="3"/>
      <c r="B115" s="167" t="s">
        <v>299</v>
      </c>
      <c r="C115" s="119">
        <f>'[1]5100'!D28+'[2]5100'!D28+'[3]5100'!D28+'[4]5100'!D28+'[5]5100'!D28+'[6]5100'!D28+'[7]5100'!D28</f>
        <v>0</v>
      </c>
      <c r="D115" s="119">
        <f>'[1]5100'!E28+'[2]5100'!E28+'[3]5100'!E28+'[4]5100'!E28+'[5]5100'!E28+'[6]5100'!E28+'[7]5100'!E28</f>
        <v>0</v>
      </c>
      <c r="E115" s="119">
        <f>'[1]5100'!F28+'[2]5100'!F28+'[3]5100'!F28+'[4]5100'!F28+'[5]5100'!F28+'[6]5100'!F28+'[7]5100'!F28</f>
        <v>0</v>
      </c>
      <c r="F115" s="119">
        <f>'[1]5100'!G28+'[2]5100'!G28+'[3]5100'!G28+'[4]5100'!G28+'[5]5100'!G28+'[6]5100'!G28+'[7]5100'!G28</f>
        <v>0</v>
      </c>
      <c r="G115" s="119">
        <f>'[1]5100'!H28+'[2]5100'!H28+'[3]5100'!H28+'[4]5100'!H28+'[5]5100'!H28+'[6]5100'!H28+'[7]5100'!H28</f>
        <v>0</v>
      </c>
      <c r="H115" s="119">
        <f>'[1]5100'!I28+'[2]5100'!I28+'[3]5100'!I28+'[4]5100'!I28+'[5]5100'!I28+'[6]5100'!I28+'[7]5100'!I28</f>
        <v>0</v>
      </c>
      <c r="I115" s="119">
        <f>'[1]5100'!J28+'[2]5100'!J28+'[3]5100'!J28+'[4]5100'!J28+'[5]5100'!J28+'[6]5100'!J28+'[7]5100'!J28</f>
        <v>0</v>
      </c>
    </row>
    <row r="116" spans="1:10" ht="12.95" hidden="1" customHeight="1" thickBot="1">
      <c r="A116" s="3"/>
      <c r="B116" s="164" t="s">
        <v>311</v>
      </c>
      <c r="C116" s="165">
        <f t="shared" ref="C116:I116" si="17">SUM(C107:C115)</f>
        <v>45792215.18</v>
      </c>
      <c r="D116" s="165">
        <f t="shared" si="17"/>
        <v>5990173.6000000006</v>
      </c>
      <c r="E116" s="165">
        <f t="shared" si="17"/>
        <v>51782388.780000001</v>
      </c>
      <c r="F116" s="165">
        <f t="shared" si="17"/>
        <v>44376198.18</v>
      </c>
      <c r="G116" s="165">
        <f t="shared" si="17"/>
        <v>36462853.889999993</v>
      </c>
      <c r="H116" s="165">
        <f t="shared" si="17"/>
        <v>698230.71</v>
      </c>
      <c r="I116" s="166">
        <f t="shared" si="17"/>
        <v>7913344.2899999982</v>
      </c>
    </row>
    <row r="117" spans="1:10" ht="12.95" hidden="1" customHeight="1">
      <c r="A117" s="3"/>
    </row>
    <row r="118" spans="1:10" ht="12.95" hidden="1" customHeight="1">
      <c r="A118" s="3"/>
    </row>
    <row r="119" spans="1:10" ht="12.95" hidden="1" customHeight="1" thickBot="1">
      <c r="A119" s="3"/>
    </row>
    <row r="120" spans="1:10" ht="15" hidden="1" customHeight="1">
      <c r="A120" s="3"/>
      <c r="B120" s="229" t="s">
        <v>312</v>
      </c>
      <c r="C120" s="232" t="s">
        <v>275</v>
      </c>
      <c r="D120" s="232"/>
      <c r="E120" s="232"/>
      <c r="F120" s="232" t="s">
        <v>276</v>
      </c>
      <c r="G120" s="232" t="s">
        <v>277</v>
      </c>
      <c r="H120" s="232" t="s">
        <v>278</v>
      </c>
      <c r="I120" s="232" t="s">
        <v>279</v>
      </c>
      <c r="J120" s="227" t="s">
        <v>280</v>
      </c>
    </row>
    <row r="121" spans="1:10" hidden="1">
      <c r="B121" s="230"/>
      <c r="C121" s="154" t="s">
        <v>281</v>
      </c>
      <c r="D121" s="154" t="s">
        <v>282</v>
      </c>
      <c r="E121" s="154" t="s">
        <v>283</v>
      </c>
      <c r="F121" s="233"/>
      <c r="G121" s="233"/>
      <c r="H121" s="233"/>
      <c r="I121" s="233"/>
      <c r="J121" s="228"/>
    </row>
    <row r="122" spans="1:10" hidden="1">
      <c r="B122" s="231"/>
      <c r="C122" s="158" t="s">
        <v>284</v>
      </c>
      <c r="D122" s="158" t="s">
        <v>285</v>
      </c>
      <c r="E122" s="158" t="s">
        <v>286</v>
      </c>
      <c r="F122" s="159" t="s">
        <v>287</v>
      </c>
      <c r="G122" s="159" t="s">
        <v>288</v>
      </c>
      <c r="H122" s="159" t="s">
        <v>289</v>
      </c>
      <c r="I122" s="159" t="s">
        <v>290</v>
      </c>
      <c r="J122" s="160" t="s">
        <v>291</v>
      </c>
    </row>
    <row r="123" spans="1:10" hidden="1">
      <c r="B123" s="161" t="s">
        <v>292</v>
      </c>
      <c r="C123" s="162">
        <v>0</v>
      </c>
      <c r="D123" s="162">
        <v>0</v>
      </c>
      <c r="E123" s="162">
        <v>0</v>
      </c>
      <c r="F123" s="162">
        <v>0</v>
      </c>
      <c r="G123" s="162">
        <v>0</v>
      </c>
      <c r="H123" s="162">
        <v>0</v>
      </c>
      <c r="I123" s="162">
        <v>0</v>
      </c>
      <c r="J123" s="162">
        <v>0</v>
      </c>
    </row>
    <row r="124" spans="1:10" hidden="1">
      <c r="B124" s="163" t="s">
        <v>293</v>
      </c>
      <c r="C124" s="162">
        <v>0</v>
      </c>
      <c r="D124" s="162">
        <v>0</v>
      </c>
      <c r="E124" s="162">
        <v>0</v>
      </c>
      <c r="F124" s="162">
        <v>0</v>
      </c>
      <c r="G124" s="162">
        <v>0</v>
      </c>
      <c r="H124" s="162">
        <v>0</v>
      </c>
      <c r="I124" s="162">
        <v>0</v>
      </c>
      <c r="J124" s="162">
        <v>0</v>
      </c>
    </row>
    <row r="125" spans="1:10" hidden="1">
      <c r="B125" s="163" t="s">
        <v>294</v>
      </c>
      <c r="C125" s="162">
        <v>0</v>
      </c>
      <c r="D125" s="162">
        <v>0</v>
      </c>
      <c r="E125" s="162">
        <v>0</v>
      </c>
      <c r="F125" s="162">
        <v>0</v>
      </c>
      <c r="G125" s="162">
        <v>0</v>
      </c>
      <c r="H125" s="162">
        <v>0</v>
      </c>
      <c r="I125" s="162">
        <v>0</v>
      </c>
      <c r="J125" s="162">
        <v>0</v>
      </c>
    </row>
    <row r="126" spans="1:10" hidden="1">
      <c r="B126" s="163" t="s">
        <v>295</v>
      </c>
      <c r="C126" s="162">
        <v>0</v>
      </c>
      <c r="D126" s="162">
        <v>0</v>
      </c>
      <c r="E126" s="162">
        <v>0</v>
      </c>
      <c r="F126" s="162">
        <v>0</v>
      </c>
      <c r="G126" s="162">
        <v>0</v>
      </c>
      <c r="H126" s="162">
        <v>0</v>
      </c>
      <c r="I126" s="162">
        <v>0</v>
      </c>
      <c r="J126" s="162">
        <v>0</v>
      </c>
    </row>
    <row r="127" spans="1:10" hidden="1">
      <c r="B127" s="163" t="s">
        <v>296</v>
      </c>
      <c r="C127" s="162">
        <v>0</v>
      </c>
      <c r="D127" s="162">
        <v>0</v>
      </c>
      <c r="E127" s="162">
        <v>0</v>
      </c>
      <c r="F127" s="162">
        <v>0</v>
      </c>
      <c r="G127" s="162">
        <v>0</v>
      </c>
      <c r="H127" s="162">
        <v>0</v>
      </c>
      <c r="I127" s="162">
        <v>0</v>
      </c>
      <c r="J127" s="162">
        <v>0</v>
      </c>
    </row>
    <row r="128" spans="1:10" hidden="1">
      <c r="B128" s="163" t="s">
        <v>297</v>
      </c>
      <c r="C128" s="162">
        <v>0</v>
      </c>
      <c r="D128" s="162">
        <v>0</v>
      </c>
      <c r="E128" s="162">
        <v>0</v>
      </c>
      <c r="F128" s="162">
        <v>0</v>
      </c>
      <c r="G128" s="162">
        <v>0</v>
      </c>
      <c r="H128" s="162">
        <v>0</v>
      </c>
      <c r="I128" s="162">
        <v>0</v>
      </c>
      <c r="J128" s="162">
        <v>0</v>
      </c>
    </row>
    <row r="129" spans="2:10" hidden="1">
      <c r="B129" s="163" t="s">
        <v>298</v>
      </c>
      <c r="C129" s="162">
        <v>0</v>
      </c>
      <c r="D129" s="162">
        <v>0</v>
      </c>
      <c r="E129" s="162">
        <v>0</v>
      </c>
      <c r="F129" s="162">
        <v>0</v>
      </c>
      <c r="G129" s="162">
        <v>0</v>
      </c>
      <c r="H129" s="162">
        <v>0</v>
      </c>
      <c r="I129" s="162">
        <v>0</v>
      </c>
      <c r="J129" s="162">
        <v>0</v>
      </c>
    </row>
    <row r="130" spans="2:10" hidden="1">
      <c r="B130" s="163" t="s">
        <v>299</v>
      </c>
      <c r="C130" s="162">
        <v>0</v>
      </c>
      <c r="D130" s="162">
        <v>0</v>
      </c>
      <c r="E130" s="162">
        <v>0</v>
      </c>
      <c r="F130" s="162">
        <v>0</v>
      </c>
      <c r="G130" s="162">
        <v>0</v>
      </c>
      <c r="H130" s="162">
        <v>0</v>
      </c>
      <c r="I130" s="162">
        <v>0</v>
      </c>
      <c r="J130" s="162">
        <v>0</v>
      </c>
    </row>
    <row r="131" spans="2:10" ht="13.5" hidden="1" thickBot="1">
      <c r="B131" s="164" t="s">
        <v>300</v>
      </c>
      <c r="C131" s="165">
        <f t="shared" ref="C131:J131" si="18">SUM(C123:C130)</f>
        <v>0</v>
      </c>
      <c r="D131" s="165">
        <f t="shared" si="18"/>
        <v>0</v>
      </c>
      <c r="E131" s="165">
        <f t="shared" si="18"/>
        <v>0</v>
      </c>
      <c r="F131" s="165">
        <f t="shared" si="18"/>
        <v>0</v>
      </c>
      <c r="G131" s="165">
        <f t="shared" si="18"/>
        <v>0</v>
      </c>
      <c r="H131" s="165">
        <f t="shared" si="18"/>
        <v>0</v>
      </c>
      <c r="I131" s="165">
        <f t="shared" si="18"/>
        <v>0</v>
      </c>
      <c r="J131" s="166">
        <f t="shared" si="18"/>
        <v>0</v>
      </c>
    </row>
    <row r="132" spans="2:10" hidden="1"/>
    <row r="133" spans="2:10" ht="13.5" hidden="1" thickBot="1"/>
    <row r="134" spans="2:10" ht="76.5" hidden="1">
      <c r="B134" s="150" t="s">
        <v>313</v>
      </c>
      <c r="C134" s="171" t="s">
        <v>301</v>
      </c>
      <c r="D134" s="172"/>
      <c r="E134" s="173"/>
      <c r="F134" s="151" t="s">
        <v>302</v>
      </c>
      <c r="G134" s="151" t="s">
        <v>303</v>
      </c>
      <c r="H134" s="151" t="s">
        <v>304</v>
      </c>
      <c r="I134" s="152" t="s">
        <v>305</v>
      </c>
    </row>
    <row r="135" spans="2:10" hidden="1">
      <c r="B135" s="153"/>
      <c r="C135" s="154" t="s">
        <v>281</v>
      </c>
      <c r="D135" s="154" t="s">
        <v>282</v>
      </c>
      <c r="E135" s="154" t="s">
        <v>283</v>
      </c>
      <c r="F135" s="155"/>
      <c r="G135" s="155"/>
      <c r="H135" s="155"/>
      <c r="I135" s="156"/>
    </row>
    <row r="136" spans="2:10" hidden="1">
      <c r="B136" s="157"/>
      <c r="C136" s="158" t="s">
        <v>284</v>
      </c>
      <c r="D136" s="158" t="s">
        <v>285</v>
      </c>
      <c r="E136" s="158" t="s">
        <v>286</v>
      </c>
      <c r="F136" s="159" t="s">
        <v>288</v>
      </c>
      <c r="G136" s="159" t="s">
        <v>287</v>
      </c>
      <c r="H136" s="159" t="s">
        <v>289</v>
      </c>
      <c r="I136" s="160" t="s">
        <v>290</v>
      </c>
    </row>
    <row r="137" spans="2:10" hidden="1">
      <c r="B137" s="161" t="s">
        <v>306</v>
      </c>
      <c r="C137" s="162">
        <v>0</v>
      </c>
      <c r="D137" s="162">
        <v>0</v>
      </c>
      <c r="E137" s="162">
        <v>0</v>
      </c>
      <c r="F137" s="162">
        <v>0</v>
      </c>
      <c r="G137" s="162">
        <v>0</v>
      </c>
      <c r="H137" s="162">
        <v>0</v>
      </c>
      <c r="I137" s="162">
        <v>0</v>
      </c>
    </row>
    <row r="138" spans="2:10" hidden="1">
      <c r="B138" s="163" t="s">
        <v>307</v>
      </c>
      <c r="C138" s="162">
        <v>0</v>
      </c>
      <c r="D138" s="162">
        <v>0</v>
      </c>
      <c r="E138" s="162">
        <v>0</v>
      </c>
      <c r="F138" s="162">
        <v>0</v>
      </c>
      <c r="G138" s="162">
        <v>0</v>
      </c>
      <c r="H138" s="162">
        <v>0</v>
      </c>
      <c r="I138" s="162">
        <v>0</v>
      </c>
    </row>
    <row r="139" spans="2:10" hidden="1">
      <c r="B139" s="163" t="s">
        <v>308</v>
      </c>
      <c r="C139" s="162">
        <v>0</v>
      </c>
      <c r="D139" s="162">
        <v>0</v>
      </c>
      <c r="E139" s="162">
        <v>0</v>
      </c>
      <c r="F139" s="162">
        <v>0</v>
      </c>
      <c r="G139" s="162">
        <v>0</v>
      </c>
      <c r="H139" s="162">
        <v>0</v>
      </c>
      <c r="I139" s="162">
        <v>0</v>
      </c>
    </row>
    <row r="140" spans="2:10" hidden="1">
      <c r="B140" s="163" t="s">
        <v>295</v>
      </c>
      <c r="C140" s="162">
        <v>0</v>
      </c>
      <c r="D140" s="162">
        <v>0</v>
      </c>
      <c r="E140" s="162">
        <v>0</v>
      </c>
      <c r="F140" s="162">
        <v>0</v>
      </c>
      <c r="G140" s="162">
        <v>0</v>
      </c>
      <c r="H140" s="162">
        <v>0</v>
      </c>
      <c r="I140" s="162">
        <v>0</v>
      </c>
    </row>
    <row r="141" spans="2:10" hidden="1">
      <c r="B141" s="163" t="s">
        <v>309</v>
      </c>
      <c r="C141" s="162">
        <v>0</v>
      </c>
      <c r="D141" s="162">
        <v>0</v>
      </c>
      <c r="E141" s="162">
        <v>0</v>
      </c>
      <c r="F141" s="162">
        <v>0</v>
      </c>
      <c r="G141" s="162">
        <v>0</v>
      </c>
      <c r="H141" s="162">
        <v>0</v>
      </c>
      <c r="I141" s="162">
        <v>0</v>
      </c>
    </row>
    <row r="142" spans="2:10" hidden="1">
      <c r="B142" s="163" t="s">
        <v>310</v>
      </c>
      <c r="C142" s="162">
        <v>0</v>
      </c>
      <c r="D142" s="162">
        <v>0</v>
      </c>
      <c r="E142" s="162">
        <v>0</v>
      </c>
      <c r="F142" s="162">
        <v>0</v>
      </c>
      <c r="G142" s="162">
        <v>0</v>
      </c>
      <c r="H142" s="162">
        <v>0</v>
      </c>
      <c r="I142" s="162">
        <v>0</v>
      </c>
    </row>
    <row r="143" spans="2:10" hidden="1">
      <c r="B143" s="163" t="s">
        <v>297</v>
      </c>
      <c r="C143" s="162">
        <v>0</v>
      </c>
      <c r="D143" s="162">
        <v>0</v>
      </c>
      <c r="E143" s="162">
        <v>0</v>
      </c>
      <c r="F143" s="162">
        <v>0</v>
      </c>
      <c r="G143" s="162">
        <v>0</v>
      </c>
      <c r="H143" s="162">
        <v>0</v>
      </c>
      <c r="I143" s="162">
        <v>0</v>
      </c>
    </row>
    <row r="144" spans="2:10" hidden="1">
      <c r="B144" s="163" t="s">
        <v>298</v>
      </c>
      <c r="C144" s="162">
        <v>0</v>
      </c>
      <c r="D144" s="162">
        <v>0</v>
      </c>
      <c r="E144" s="162">
        <v>0</v>
      </c>
      <c r="F144" s="162">
        <v>0</v>
      </c>
      <c r="G144" s="162">
        <v>0</v>
      </c>
      <c r="H144" s="162">
        <v>0</v>
      </c>
      <c r="I144" s="162">
        <v>0</v>
      </c>
    </row>
    <row r="145" spans="1:9" hidden="1">
      <c r="B145" s="167" t="s">
        <v>299</v>
      </c>
      <c r="C145" s="162">
        <v>0</v>
      </c>
      <c r="D145" s="162">
        <v>0</v>
      </c>
      <c r="E145" s="162">
        <v>0</v>
      </c>
      <c r="F145" s="162">
        <v>0</v>
      </c>
      <c r="G145" s="162">
        <v>0</v>
      </c>
      <c r="H145" s="162">
        <v>0</v>
      </c>
      <c r="I145" s="162">
        <v>0</v>
      </c>
    </row>
    <row r="146" spans="1:9" ht="13.5" hidden="1" thickBot="1">
      <c r="B146" s="164" t="s">
        <v>311</v>
      </c>
      <c r="C146" s="165">
        <f t="shared" ref="C146:I146" si="19">SUM(C137:C145)</f>
        <v>0</v>
      </c>
      <c r="D146" s="165">
        <f t="shared" si="19"/>
        <v>0</v>
      </c>
      <c r="E146" s="165">
        <f t="shared" si="19"/>
        <v>0</v>
      </c>
      <c r="F146" s="165">
        <f t="shared" si="19"/>
        <v>0</v>
      </c>
      <c r="G146" s="165">
        <f t="shared" si="19"/>
        <v>0</v>
      </c>
      <c r="H146" s="165">
        <f t="shared" si="19"/>
        <v>0</v>
      </c>
      <c r="I146" s="166">
        <f t="shared" si="19"/>
        <v>0</v>
      </c>
    </row>
    <row r="147" spans="1:9" hidden="1"/>
    <row r="148" spans="1:9" hidden="1"/>
    <row r="149" spans="1:9" hidden="1"/>
    <row r="150" spans="1:9" ht="13.5" hidden="1" thickBot="1"/>
    <row r="151" spans="1:9" ht="15.75" hidden="1">
      <c r="A151" s="246" t="s">
        <v>316</v>
      </c>
      <c r="B151" s="246"/>
      <c r="C151" s="27"/>
      <c r="D151" s="131"/>
      <c r="E151" s="131"/>
      <c r="F151" s="132"/>
      <c r="G151" s="131"/>
    </row>
    <row r="152" spans="1:9" ht="47.25" hidden="1">
      <c r="A152" s="241"/>
      <c r="B152" s="241"/>
      <c r="C152" s="241"/>
      <c r="D152" s="134" t="s">
        <v>227</v>
      </c>
      <c r="E152" s="134" t="s">
        <v>228</v>
      </c>
      <c r="F152" s="31"/>
      <c r="G152" s="133" t="s">
        <v>229</v>
      </c>
    </row>
    <row r="153" spans="1:9" ht="15.75" hidden="1">
      <c r="A153" s="242" t="s">
        <v>16</v>
      </c>
      <c r="B153" s="242"/>
      <c r="C153" s="242"/>
      <c r="D153" s="134" t="s">
        <v>230</v>
      </c>
      <c r="E153" s="134" t="s">
        <v>231</v>
      </c>
      <c r="F153" s="135" t="s">
        <v>232</v>
      </c>
      <c r="G153" s="134" t="s">
        <v>233</v>
      </c>
    </row>
    <row r="154" spans="1:9" ht="15.75" hidden="1">
      <c r="A154" s="136" t="s">
        <v>234</v>
      </c>
      <c r="B154" s="111" t="s">
        <v>235</v>
      </c>
      <c r="C154" s="120"/>
      <c r="D154" s="120">
        <f>SUM('[1]5100'!$G$20:$G$24)+SUM('[2]5100'!$G$20:$G$24)+SUM('[3]5100'!$G$20:$G$24)+SUM('[4]5100'!$G$20:$G$24)+SUM('[5]5100'!$G$20:$G$24)+SUM('[6]5100'!$G$20:$G$24)+SUM('[7]5100'!$G$20:$G$24)</f>
        <v>43461512.450000003</v>
      </c>
      <c r="E154" s="120">
        <f>SUM('[1]5100'!$H$5:$H$9)+SUM('[2]5100'!$H$5:$H$9)+SUM('[3]5100'!$H$5:$H$9)+SUM('[4]5100'!$H$5:$H$9)+SUM('[5]5100'!$H$5:$H$9)+SUM('[6]5100'!$H$5:$H$9)+SUM('[7]5100'!$H$5:$H$9)</f>
        <v>39261281.360000007</v>
      </c>
      <c r="F154" s="120"/>
      <c r="G154" s="120">
        <f t="shared" ref="G154:G160" si="20">D154-E154</f>
        <v>4200231.0899999961</v>
      </c>
    </row>
    <row r="155" spans="1:9" ht="15.75" hidden="1">
      <c r="A155" s="41" t="s">
        <v>236</v>
      </c>
      <c r="B155" s="31" t="s">
        <v>237</v>
      </c>
      <c r="C155" s="119"/>
      <c r="D155" s="119">
        <f>SUM('[1]5100'!$G$25:$G$26)+SUM('[2]5100'!$G$25:$G$26)+SUM('[3]5100'!$G$25:$G$26)+SUM('[4]5100'!$G$25:$G$26)+SUM('[5]5100'!$G$25:$G$26)+SUM('[6]5100'!$G$25:$G$26)+SUM('[7]5100'!$G$25:$G$26)</f>
        <v>830837.5</v>
      </c>
      <c r="E155" s="119">
        <f>SUM('[1]5100'!$H$10:$H$11)+SUM('[2]5100'!$H$10:$H$11)+SUM('[3]5100'!$H$10:$H$11)+SUM('[4]5100'!$H$10:$H$11)+SUM('[5]5100'!$H$10:$H$11)+SUM('[6]5100'!$H$10:$H$11)+SUM('[7]5100'!$H$10:$H$11)</f>
        <v>1542067.0200000003</v>
      </c>
      <c r="F155" s="119"/>
      <c r="G155" s="119">
        <f t="shared" si="20"/>
        <v>-711229.52000000025</v>
      </c>
    </row>
    <row r="156" spans="1:9" ht="15.75" hidden="1">
      <c r="A156" s="41" t="s">
        <v>238</v>
      </c>
      <c r="B156" s="31" t="s">
        <v>239</v>
      </c>
      <c r="C156" s="119"/>
      <c r="D156" s="119">
        <f>'[1]5120'!D6+'[2]5120'!D6+'[3]5120'!D6+'[4]5120'!D6++'[5]5120'!D6+'[6]5120'!D6+'[7]5120'!D6</f>
        <v>0</v>
      </c>
      <c r="E156" s="119">
        <f>'[1]5120'!E6+'[2]5120'!E6+'[3]5120'!E6+'[4]5120'!E6+'[5]5120'!E6+'[6]5120'!E6+'[7]5120'!E6</f>
        <v>0</v>
      </c>
      <c r="F156" s="119"/>
      <c r="G156" s="119">
        <f t="shared" si="20"/>
        <v>0</v>
      </c>
    </row>
    <row r="157" spans="1:9" ht="15.75" hidden="1">
      <c r="A157" s="137" t="s">
        <v>240</v>
      </c>
      <c r="B157" s="137"/>
      <c r="C157" s="138"/>
      <c r="D157" s="138">
        <f>D154+D155+D156</f>
        <v>44292349.950000003</v>
      </c>
      <c r="E157" s="138">
        <f>E154+E155+E156</f>
        <v>40803348.38000001</v>
      </c>
      <c r="F157" s="119"/>
      <c r="G157" s="138">
        <f t="shared" si="20"/>
        <v>3489001.5699999928</v>
      </c>
    </row>
    <row r="158" spans="1:9" ht="15.75" hidden="1">
      <c r="A158" s="41" t="s">
        <v>241</v>
      </c>
      <c r="B158" s="31" t="s">
        <v>213</v>
      </c>
      <c r="C158" s="119"/>
      <c r="D158" s="119">
        <f>'[1]5120'!D5+'[2]5120'!D5+'[3]5120'!D5+'[4]5120'!D5+'[5]5120'!D5+'[6]5120'!D5+'[7]5120'!D5</f>
        <v>83848.23</v>
      </c>
      <c r="E158" s="119">
        <f>'[1]5120'!E5+'[2]5120'!E5+'[3]5120'!E5+'[4]5120'!E5+'[5]5120'!E5+'[6]5120'!E5+'[7]5120'!E5</f>
        <v>53106.1</v>
      </c>
      <c r="F158" s="119"/>
      <c r="G158" s="119">
        <f t="shared" si="20"/>
        <v>30742.129999999997</v>
      </c>
    </row>
    <row r="159" spans="1:9" ht="15.75" hidden="1">
      <c r="A159" s="41" t="s">
        <v>242</v>
      </c>
      <c r="B159" s="31" t="s">
        <v>243</v>
      </c>
      <c r="C159" s="119"/>
      <c r="D159" s="119">
        <f>'[1]5120'!D8+'[2]5120'!D8+'[3]5120'!D8+'[4]5120'!D8+'[5]5120'!D8+'[6]5120'!D8+'[7]5120'!D8</f>
        <v>0</v>
      </c>
      <c r="E159" s="119">
        <f>'[1]5120'!E8+'[2]5120'!E8+'[3]5120'!E8+'[4]5120'!E8+'[5]5120'!E8+'[6]5120'!E8+'[7]5120'!E8</f>
        <v>0</v>
      </c>
      <c r="F159" s="119"/>
      <c r="G159" s="119">
        <f t="shared" si="20"/>
        <v>0</v>
      </c>
    </row>
    <row r="160" spans="1:9" ht="15.75" hidden="1">
      <c r="A160" s="111" t="s">
        <v>244</v>
      </c>
      <c r="B160" s="111"/>
      <c r="C160" s="120"/>
      <c r="D160" s="120">
        <f>D158+D159</f>
        <v>83848.23</v>
      </c>
      <c r="E160" s="120">
        <f>E158+E159</f>
        <v>53106.1</v>
      </c>
      <c r="F160" s="119"/>
      <c r="G160" s="138">
        <f t="shared" si="20"/>
        <v>30742.129999999997</v>
      </c>
    </row>
    <row r="161" spans="1:10" ht="15.75" hidden="1">
      <c r="A161" s="243" t="s">
        <v>245</v>
      </c>
      <c r="B161" s="243"/>
      <c r="C161" s="243"/>
      <c r="D161" s="139">
        <f>D157+D160</f>
        <v>44376198.18</v>
      </c>
      <c r="E161" s="139">
        <f>E157+E160</f>
        <v>40856454.480000012</v>
      </c>
      <c r="F161" s="119"/>
      <c r="G161" s="139">
        <f>G157+G160</f>
        <v>3519743.6999999927</v>
      </c>
      <c r="J161" s="26"/>
    </row>
    <row r="162" spans="1:10" ht="15.75" hidden="1">
      <c r="A162" s="140" t="s">
        <v>246</v>
      </c>
      <c r="B162" s="31"/>
      <c r="C162" s="119"/>
      <c r="D162" s="119"/>
      <c r="E162" s="119"/>
      <c r="F162" s="119"/>
      <c r="G162" s="120"/>
      <c r="J162" s="26"/>
    </row>
    <row r="163" spans="1:10" ht="15.75" hidden="1">
      <c r="A163" s="144" t="s">
        <v>247</v>
      </c>
      <c r="B163" s="31"/>
      <c r="C163" s="119"/>
      <c r="D163" s="119"/>
      <c r="E163" s="119"/>
      <c r="F163" s="119">
        <f>'[1]5120'!F10+'[2]5120'!F10+'[3]5120'!F10+'[4]5120'!F10++'[5]5120'!F10+'[6]5120'!F10+'[7]5120'!F10</f>
        <v>2856487.78</v>
      </c>
      <c r="G163" s="119"/>
    </row>
    <row r="164" spans="1:10" ht="15.75" hidden="1">
      <c r="A164" s="144" t="s">
        <v>248</v>
      </c>
      <c r="B164" s="31"/>
      <c r="C164" s="119"/>
      <c r="D164" s="119"/>
      <c r="E164" s="119"/>
      <c r="F164" s="119">
        <f>'[1]5120'!F12+'[2]5120'!F12+'[3]5120'!F12+'[4]5120'!F12++'[5]5120'!F12+'[6]5120'!F12+'[7]5120'!F12</f>
        <v>0</v>
      </c>
      <c r="G164" s="119"/>
    </row>
    <row r="165" spans="1:10" ht="15.75" hidden="1">
      <c r="A165" s="144" t="s">
        <v>249</v>
      </c>
      <c r="B165" s="31"/>
      <c r="C165" s="119"/>
      <c r="D165" s="119"/>
      <c r="E165" s="119"/>
      <c r="F165" s="119">
        <f>'[1]5120'!F11+'[2]5120'!F11+'[3]5120'!F11+'[4]5120'!F11++'[5]5120'!F11+'[6]5120'!F11+'[7]5120'!F11</f>
        <v>0</v>
      </c>
      <c r="G165" s="119"/>
    </row>
    <row r="166" spans="1:10" ht="15.75" hidden="1">
      <c r="A166" s="243" t="s">
        <v>250</v>
      </c>
      <c r="B166" s="243"/>
      <c r="C166" s="243"/>
      <c r="D166" s="243"/>
      <c r="E166" s="243"/>
      <c r="F166" s="145">
        <f>F163+F164-F165</f>
        <v>2856487.78</v>
      </c>
      <c r="G166" s="119"/>
    </row>
    <row r="167" spans="1:10" ht="16.5" hidden="1" thickBot="1">
      <c r="A167" s="247" t="s">
        <v>251</v>
      </c>
      <c r="B167" s="247"/>
      <c r="C167" s="247"/>
      <c r="D167" s="247"/>
      <c r="E167" s="247"/>
      <c r="F167" s="247"/>
      <c r="G167" s="146">
        <f>G161+F166</f>
        <v>6376231.479999993</v>
      </c>
    </row>
    <row r="168" spans="1:10" ht="13.5" hidden="1" thickBot="1"/>
    <row r="169" spans="1:10" ht="15.75" hidden="1">
      <c r="A169" s="246" t="s">
        <v>317</v>
      </c>
      <c r="B169" s="246"/>
      <c r="C169" s="27"/>
      <c r="D169" s="131"/>
      <c r="E169" s="131"/>
      <c r="F169" s="132"/>
      <c r="G169" s="131"/>
    </row>
    <row r="170" spans="1:10" ht="47.25" hidden="1">
      <c r="A170" s="241"/>
      <c r="B170" s="241"/>
      <c r="C170" s="241"/>
      <c r="D170" s="134" t="s">
        <v>227</v>
      </c>
      <c r="E170" s="134" t="s">
        <v>228</v>
      </c>
      <c r="F170" s="31"/>
      <c r="G170" s="133" t="s">
        <v>229</v>
      </c>
    </row>
    <row r="171" spans="1:10" ht="15.75" hidden="1">
      <c r="A171" s="242" t="s">
        <v>16</v>
      </c>
      <c r="B171" s="242"/>
      <c r="C171" s="242"/>
      <c r="D171" s="134" t="s">
        <v>230</v>
      </c>
      <c r="E171" s="134" t="s">
        <v>231</v>
      </c>
      <c r="F171" s="135" t="s">
        <v>232</v>
      </c>
      <c r="G171" s="134" t="s">
        <v>233</v>
      </c>
    </row>
    <row r="172" spans="1:10" ht="15.75" hidden="1">
      <c r="A172" s="136" t="s">
        <v>234</v>
      </c>
      <c r="B172" s="111" t="s">
        <v>235</v>
      </c>
      <c r="C172" s="120"/>
      <c r="D172" s="120">
        <v>0</v>
      </c>
      <c r="E172" s="120">
        <v>0</v>
      </c>
      <c r="F172" s="120"/>
      <c r="G172" s="120">
        <f t="shared" ref="G172:G178" si="21">D172-E172</f>
        <v>0</v>
      </c>
    </row>
    <row r="173" spans="1:10" ht="15.75" hidden="1">
      <c r="A173" s="41" t="s">
        <v>236</v>
      </c>
      <c r="B173" s="31" t="s">
        <v>237</v>
      </c>
      <c r="C173" s="119"/>
      <c r="D173" s="119">
        <v>0</v>
      </c>
      <c r="E173" s="119">
        <v>0</v>
      </c>
      <c r="F173" s="119"/>
      <c r="G173" s="119">
        <f t="shared" si="21"/>
        <v>0</v>
      </c>
    </row>
    <row r="174" spans="1:10" ht="15.75" hidden="1">
      <c r="A174" s="41" t="s">
        <v>238</v>
      </c>
      <c r="B174" s="31" t="s">
        <v>239</v>
      </c>
      <c r="C174" s="119"/>
      <c r="D174" s="119">
        <v>0</v>
      </c>
      <c r="E174" s="119">
        <v>0</v>
      </c>
      <c r="F174" s="119"/>
      <c r="G174" s="119">
        <f t="shared" si="21"/>
        <v>0</v>
      </c>
    </row>
    <row r="175" spans="1:10" ht="15.75" hidden="1">
      <c r="A175" s="137" t="s">
        <v>240</v>
      </c>
      <c r="B175" s="137"/>
      <c r="C175" s="138"/>
      <c r="D175" s="138">
        <f>D172+D173+D174</f>
        <v>0</v>
      </c>
      <c r="E175" s="138">
        <f>E172+E173+E174</f>
        <v>0</v>
      </c>
      <c r="F175" s="119"/>
      <c r="G175" s="138">
        <f t="shared" si="21"/>
        <v>0</v>
      </c>
    </row>
    <row r="176" spans="1:10" ht="15.75" hidden="1">
      <c r="A176" s="41" t="s">
        <v>241</v>
      </c>
      <c r="B176" s="31" t="s">
        <v>213</v>
      </c>
      <c r="C176" s="119"/>
      <c r="D176" s="119">
        <v>0</v>
      </c>
      <c r="E176" s="119">
        <f>'[8]5120'!E5+'[9]5120'!E5+'[10]5120'!E5+'[11]5120'!E5+'[12]5120'!E5</f>
        <v>0</v>
      </c>
      <c r="F176" s="119"/>
      <c r="G176" s="119">
        <f t="shared" si="21"/>
        <v>0</v>
      </c>
    </row>
    <row r="177" spans="1:10" ht="15.75" hidden="1">
      <c r="A177" s="41" t="s">
        <v>242</v>
      </c>
      <c r="B177" s="31" t="s">
        <v>243</v>
      </c>
      <c r="C177" s="119"/>
      <c r="D177" s="119">
        <v>0</v>
      </c>
      <c r="E177" s="119">
        <v>0</v>
      </c>
      <c r="F177" s="119"/>
      <c r="G177" s="119">
        <f t="shared" si="21"/>
        <v>0</v>
      </c>
    </row>
    <row r="178" spans="1:10" ht="15.75" hidden="1">
      <c r="A178" s="111" t="s">
        <v>244</v>
      </c>
      <c r="B178" s="111"/>
      <c r="C178" s="120"/>
      <c r="D178" s="120">
        <f>D176+D177</f>
        <v>0</v>
      </c>
      <c r="E178" s="120">
        <f>E176+E177</f>
        <v>0</v>
      </c>
      <c r="F178" s="119"/>
      <c r="G178" s="138">
        <f t="shared" si="21"/>
        <v>0</v>
      </c>
    </row>
    <row r="179" spans="1:10" ht="15.75" hidden="1">
      <c r="A179" s="243" t="s">
        <v>245</v>
      </c>
      <c r="B179" s="243"/>
      <c r="C179" s="243"/>
      <c r="D179" s="139">
        <f>D175+D178</f>
        <v>0</v>
      </c>
      <c r="E179" s="139">
        <f>E175+E178</f>
        <v>0</v>
      </c>
      <c r="F179" s="119"/>
      <c r="G179" s="139">
        <f>G175+G178</f>
        <v>0</v>
      </c>
      <c r="J179" s="26"/>
    </row>
    <row r="180" spans="1:10" ht="15.75" hidden="1">
      <c r="A180" s="140" t="s">
        <v>246</v>
      </c>
      <c r="B180" s="31"/>
      <c r="C180" s="119"/>
      <c r="D180" s="119"/>
      <c r="E180" s="119"/>
      <c r="F180" s="119"/>
      <c r="G180" s="120"/>
    </row>
    <row r="181" spans="1:10" ht="15.75" hidden="1">
      <c r="A181" s="144" t="s">
        <v>247</v>
      </c>
      <c r="B181" s="31"/>
      <c r="C181" s="119"/>
      <c r="D181" s="119"/>
      <c r="E181" s="119"/>
      <c r="F181" s="119">
        <v>0</v>
      </c>
      <c r="G181" s="119"/>
    </row>
    <row r="182" spans="1:10" ht="15.75" hidden="1">
      <c r="A182" s="144" t="s">
        <v>248</v>
      </c>
      <c r="B182" s="31"/>
      <c r="C182" s="119"/>
      <c r="D182" s="119"/>
      <c r="E182" s="119"/>
      <c r="F182" s="119">
        <v>0</v>
      </c>
      <c r="G182" s="119"/>
    </row>
    <row r="183" spans="1:10" ht="15.75" hidden="1">
      <c r="A183" s="144" t="s">
        <v>249</v>
      </c>
      <c r="B183" s="31"/>
      <c r="C183" s="119"/>
      <c r="D183" s="119"/>
      <c r="E183" s="119"/>
      <c r="F183" s="119">
        <v>0</v>
      </c>
      <c r="G183" s="119"/>
    </row>
    <row r="184" spans="1:10" ht="15.75" hidden="1">
      <c r="A184" s="243" t="s">
        <v>250</v>
      </c>
      <c r="B184" s="243"/>
      <c r="C184" s="243"/>
      <c r="D184" s="243"/>
      <c r="E184" s="243"/>
      <c r="F184" s="145">
        <f>F181+F182-F183</f>
        <v>0</v>
      </c>
      <c r="G184" s="119"/>
    </row>
    <row r="185" spans="1:10" ht="16.5" hidden="1" thickBot="1">
      <c r="A185" s="247" t="s">
        <v>251</v>
      </c>
      <c r="B185" s="247"/>
      <c r="C185" s="247"/>
      <c r="D185" s="247"/>
      <c r="E185" s="247"/>
      <c r="F185" s="247"/>
      <c r="G185" s="146">
        <f>G179+F184</f>
        <v>0</v>
      </c>
    </row>
    <row r="186" spans="1:10" hidden="1"/>
  </sheetData>
  <sheetProtection selectLockedCells="1" selectUnlockedCells="1"/>
  <mergeCells count="56">
    <mergeCell ref="A184:E184"/>
    <mergeCell ref="A185:F185"/>
    <mergeCell ref="A48:C48"/>
    <mergeCell ref="A151:B151"/>
    <mergeCell ref="A152:C152"/>
    <mergeCell ref="A153:C153"/>
    <mergeCell ref="A161:C161"/>
    <mergeCell ref="A166:E166"/>
    <mergeCell ref="A167:F167"/>
    <mergeCell ref="A169:B169"/>
    <mergeCell ref="A170:C170"/>
    <mergeCell ref="A171:C171"/>
    <mergeCell ref="A179:C179"/>
    <mergeCell ref="A80:B80"/>
    <mergeCell ref="B120:B122"/>
    <mergeCell ref="C120:E120"/>
    <mergeCell ref="A79:B79"/>
    <mergeCell ref="A81:B81"/>
    <mergeCell ref="A78:B78"/>
    <mergeCell ref="F12:M12"/>
    <mergeCell ref="A12:B12"/>
    <mergeCell ref="A25:B25"/>
    <mergeCell ref="F30:M30"/>
    <mergeCell ref="F13:M13"/>
    <mergeCell ref="C13:E13"/>
    <mergeCell ref="A64:F64"/>
    <mergeCell ref="A63:E63"/>
    <mergeCell ref="A71:B71"/>
    <mergeCell ref="E70:G70"/>
    <mergeCell ref="A30:B30"/>
    <mergeCell ref="C31:E31"/>
    <mergeCell ref="A73:B73"/>
    <mergeCell ref="A72:B72"/>
    <mergeCell ref="A77:B77"/>
    <mergeCell ref="A33:B33"/>
    <mergeCell ref="G31:M31"/>
    <mergeCell ref="A76:B76"/>
    <mergeCell ref="A70:C70"/>
    <mergeCell ref="A43:B43"/>
    <mergeCell ref="A49:C49"/>
    <mergeCell ref="A50:C50"/>
    <mergeCell ref="A58:C58"/>
    <mergeCell ref="A74:B74"/>
    <mergeCell ref="A75:B75"/>
    <mergeCell ref="J120:J121"/>
    <mergeCell ref="J89:J90"/>
    <mergeCell ref="B89:B91"/>
    <mergeCell ref="C89:E89"/>
    <mergeCell ref="F89:F90"/>
    <mergeCell ref="G89:G90"/>
    <mergeCell ref="H89:H90"/>
    <mergeCell ref="I89:I90"/>
    <mergeCell ref="H120:H121"/>
    <mergeCell ref="I120:I121"/>
    <mergeCell ref="F120:F121"/>
    <mergeCell ref="G120:G121"/>
  </mergeCells>
  <phoneticPr fontId="1" type="noConversion"/>
  <printOptions horizontalCentered="1"/>
  <pageMargins left="0.31496062992125984" right="0.31496062992125984" top="0.59055118110236227" bottom="0.59055118110236227" header="0" footer="0"/>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GO204"/>
  <sheetViews>
    <sheetView zoomScale="75" workbookViewId="0">
      <selection activeCell="B1" sqref="B1"/>
    </sheetView>
  </sheetViews>
  <sheetFormatPr baseColWidth="10" defaultColWidth="11.42578125" defaultRowHeight="12.75"/>
  <cols>
    <col min="1" max="1" width="6.5703125" style="3" customWidth="1"/>
    <col min="2" max="2" width="47" style="3" customWidth="1"/>
    <col min="3" max="4" width="18.7109375" style="3" customWidth="1"/>
    <col min="5" max="5" width="18" style="3" customWidth="1"/>
    <col min="6" max="6" width="18.7109375" style="3" customWidth="1"/>
    <col min="7" max="7" width="6.42578125" style="3" customWidth="1"/>
    <col min="8" max="8" width="18" style="3" customWidth="1"/>
    <col min="9" max="18" width="19.28515625" style="3" customWidth="1"/>
    <col min="19" max="16384" width="11.42578125" style="3"/>
  </cols>
  <sheetData>
    <row r="1" spans="1:197" customFormat="1" ht="60" customHeight="1">
      <c r="A1" s="5"/>
      <c r="B1" s="7"/>
      <c r="C1" s="7"/>
      <c r="D1" s="9"/>
      <c r="E1" s="9"/>
      <c r="F1" s="3"/>
      <c r="G1" s="9"/>
      <c r="H1" s="7" t="s">
        <v>11</v>
      </c>
      <c r="I1" s="8">
        <f>Balance!N1</f>
        <v>2016</v>
      </c>
      <c r="J1" s="3"/>
      <c r="K1" s="3"/>
      <c r="L1" s="3"/>
      <c r="M1" s="3"/>
      <c r="N1" s="3"/>
      <c r="O1" s="3"/>
      <c r="P1" s="3"/>
      <c r="Q1" s="3"/>
      <c r="R1" s="3"/>
      <c r="S1" s="45"/>
      <c r="T1" s="45"/>
      <c r="U1" s="45"/>
      <c r="V1" s="45"/>
      <c r="W1" s="45"/>
      <c r="X1" s="45"/>
      <c r="Y1" s="45"/>
      <c r="Z1" s="45"/>
      <c r="AA1" s="45"/>
      <c r="AB1" s="45"/>
      <c r="AC1" s="45"/>
      <c r="AD1" s="45"/>
      <c r="AE1" s="45"/>
      <c r="AF1" s="45"/>
      <c r="AG1" s="45"/>
      <c r="AH1" s="45"/>
      <c r="AI1" s="45"/>
      <c r="AJ1" s="45"/>
      <c r="AK1" s="45"/>
      <c r="AL1" s="45"/>
      <c r="AM1" s="45"/>
      <c r="AN1" s="45"/>
      <c r="AO1" s="45"/>
      <c r="AP1" s="45"/>
      <c r="AQ1" s="45"/>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row>
    <row r="2" spans="1:197" customFormat="1" ht="12.95" customHeight="1" thickBot="1">
      <c r="A2" s="5"/>
      <c r="B2" s="6"/>
      <c r="C2" s="6"/>
      <c r="D2" s="9"/>
      <c r="E2" s="9"/>
      <c r="F2" s="9"/>
      <c r="G2" s="7"/>
      <c r="H2" s="87"/>
      <c r="I2" s="3"/>
      <c r="J2" s="3"/>
      <c r="K2" s="3"/>
      <c r="L2" s="3"/>
      <c r="M2" s="3"/>
      <c r="N2" s="3"/>
      <c r="O2" s="3"/>
      <c r="P2" s="3"/>
      <c r="Q2" s="3"/>
      <c r="R2" s="3"/>
      <c r="S2" s="45"/>
      <c r="T2" s="45"/>
      <c r="U2" s="45"/>
      <c r="V2" s="45"/>
      <c r="W2" s="45"/>
      <c r="X2" s="45"/>
      <c r="Y2" s="45"/>
      <c r="Z2" s="45"/>
      <c r="AA2" s="45"/>
      <c r="AB2" s="45"/>
      <c r="AC2" s="45"/>
      <c r="AD2" s="45"/>
      <c r="AE2" s="45"/>
      <c r="AF2" s="45"/>
      <c r="AG2" s="45"/>
      <c r="AH2" s="45"/>
      <c r="AI2" s="45"/>
      <c r="AJ2" s="45"/>
      <c r="AK2" s="45"/>
      <c r="AL2" s="45"/>
      <c r="AM2" s="45"/>
      <c r="AN2" s="45"/>
      <c r="AO2" s="45"/>
      <c r="AP2" s="45"/>
      <c r="AQ2" s="45"/>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row>
    <row r="3" spans="1:197" customFormat="1" ht="33" customHeight="1">
      <c r="A3" s="70" t="str">
        <f>"                                            "&amp;"LES CORTS Y RESTO DE INSTITUCIONES DE LA GENERALITAT"</f>
        <v xml:space="preserve">                                            LES CORTS Y RESTO DE INSTITUCIONES DE LA GENERALITAT</v>
      </c>
      <c r="B3" s="10"/>
      <c r="C3" s="10"/>
      <c r="D3" s="10"/>
      <c r="E3" s="10"/>
      <c r="F3" s="10"/>
      <c r="G3" s="10"/>
      <c r="H3" s="88"/>
      <c r="I3" s="88"/>
      <c r="J3" s="3"/>
      <c r="K3" s="3"/>
      <c r="L3" s="3"/>
      <c r="M3" s="3"/>
      <c r="N3" s="3"/>
      <c r="O3" s="3"/>
      <c r="P3" s="3"/>
      <c r="Q3" s="3"/>
      <c r="R3" s="3"/>
      <c r="S3" s="45"/>
      <c r="T3" s="45"/>
      <c r="U3" s="45"/>
      <c r="V3" s="45"/>
      <c r="W3" s="45"/>
      <c r="X3" s="45"/>
      <c r="Y3" s="45"/>
      <c r="Z3" s="45"/>
      <c r="AA3" s="45"/>
      <c r="AB3" s="45"/>
      <c r="AC3" s="45"/>
      <c r="AD3" s="45"/>
      <c r="AE3" s="45"/>
      <c r="AF3" s="45"/>
      <c r="AG3" s="45"/>
      <c r="AH3" s="45"/>
      <c r="AI3" s="45"/>
      <c r="AJ3" s="45"/>
      <c r="AK3" s="45"/>
      <c r="AL3" s="45"/>
      <c r="AM3" s="45"/>
      <c r="AN3" s="45"/>
      <c r="AO3" s="45"/>
      <c r="AP3" s="45"/>
      <c r="AQ3" s="45"/>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row>
    <row r="4" spans="1:197" customFormat="1" ht="19.5" customHeight="1">
      <c r="A4" s="14" t="str">
        <f>"AGREGADO"</f>
        <v>AGREGADO</v>
      </c>
      <c r="B4" s="74"/>
      <c r="C4" s="74"/>
      <c r="D4" s="74"/>
      <c r="E4" s="74"/>
      <c r="F4" s="74"/>
      <c r="G4" s="74"/>
      <c r="H4" s="51"/>
      <c r="I4" s="89"/>
      <c r="J4" s="3"/>
      <c r="K4" s="3"/>
      <c r="L4" s="3"/>
      <c r="M4" s="3"/>
      <c r="N4" s="3"/>
      <c r="O4" s="3"/>
      <c r="P4" s="3"/>
      <c r="Q4" s="3"/>
      <c r="R4" s="3"/>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row>
    <row r="5" spans="1:197" customFormat="1" ht="18" customHeight="1" thickBot="1">
      <c r="A5" s="18"/>
      <c r="B5" s="44"/>
      <c r="C5" s="44"/>
      <c r="D5" s="90"/>
      <c r="E5" s="102"/>
      <c r="F5" s="102"/>
      <c r="G5" s="102"/>
      <c r="H5" s="71"/>
      <c r="I5" s="72"/>
      <c r="J5" s="3"/>
      <c r="K5" s="3"/>
      <c r="L5" s="3"/>
      <c r="M5" s="3"/>
      <c r="N5" s="3"/>
      <c r="O5" s="3"/>
      <c r="P5" s="3"/>
      <c r="Q5" s="3"/>
      <c r="R5" s="3"/>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row>
    <row r="6" spans="1:197" customFormat="1" ht="15" customHeight="1">
      <c r="A6" s="91"/>
      <c r="B6" s="92"/>
      <c r="C6" s="92"/>
      <c r="D6" s="2"/>
      <c r="E6" s="2"/>
      <c r="F6" s="2"/>
      <c r="G6" s="2"/>
      <c r="H6" s="2"/>
      <c r="I6" s="92"/>
      <c r="J6" s="92"/>
      <c r="K6" s="92"/>
      <c r="L6" s="92"/>
      <c r="M6" s="92"/>
      <c r="N6" s="92"/>
      <c r="O6" s="92"/>
      <c r="P6" s="92"/>
      <c r="Q6" s="92"/>
      <c r="R6" s="92"/>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row>
    <row r="7" spans="1:197" customFormat="1" ht="12.95" customHeight="1">
      <c r="A7" s="95"/>
      <c r="B7" s="95"/>
      <c r="C7" s="95"/>
      <c r="D7" s="95"/>
      <c r="E7" s="95"/>
      <c r="F7" s="95"/>
      <c r="G7" s="95"/>
      <c r="H7" s="95"/>
      <c r="I7" s="95"/>
      <c r="J7" s="95"/>
      <c r="K7" s="95"/>
      <c r="L7" s="95"/>
      <c r="M7" s="95"/>
      <c r="N7" s="95"/>
      <c r="O7" s="95"/>
      <c r="P7" s="95"/>
      <c r="Q7" s="95"/>
      <c r="R7" s="95"/>
      <c r="S7" s="45"/>
      <c r="T7" s="45"/>
      <c r="U7" s="45"/>
      <c r="V7" s="45"/>
      <c r="W7" s="45"/>
      <c r="X7" s="45"/>
      <c r="Y7" s="45"/>
      <c r="Z7" s="45"/>
      <c r="AA7" s="45"/>
      <c r="AB7" s="45"/>
      <c r="AC7" s="45"/>
      <c r="AD7" s="45"/>
      <c r="AE7" s="45"/>
      <c r="AF7" s="45"/>
      <c r="AG7" s="45"/>
      <c r="AH7" s="45"/>
      <c r="AI7" s="45"/>
      <c r="AJ7" s="45"/>
      <c r="AK7" s="45"/>
      <c r="AL7" s="45"/>
      <c r="AM7" s="45"/>
      <c r="AN7" s="45"/>
      <c r="AO7" s="45"/>
      <c r="AP7" s="45"/>
      <c r="AQ7" s="45"/>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row>
    <row r="8" spans="1:197" s="2" customFormat="1" ht="21" customHeight="1">
      <c r="A8" s="97" t="s">
        <v>419</v>
      </c>
      <c r="B8" s="95"/>
      <c r="C8" s="95"/>
      <c r="D8" s="95"/>
      <c r="E8" s="95"/>
      <c r="F8" s="96"/>
      <c r="G8" s="96"/>
      <c r="H8" s="96"/>
      <c r="I8" s="95"/>
      <c r="J8" s="95"/>
      <c r="K8" s="9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row>
    <row r="9" spans="1:197" s="2" customFormat="1" ht="12.95" customHeight="1">
      <c r="A9" s="24"/>
      <c r="B9" s="95"/>
      <c r="C9" s="95"/>
      <c r="D9" s="95"/>
      <c r="E9" s="95"/>
      <c r="F9" s="96"/>
      <c r="G9" s="96"/>
      <c r="H9" s="96"/>
      <c r="I9" s="95"/>
      <c r="J9" s="95"/>
      <c r="K9" s="9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row>
    <row r="10" spans="1:197" s="2" customFormat="1" ht="12.95" customHeight="1">
      <c r="A10" s="24"/>
      <c r="B10" s="95"/>
      <c r="C10" s="95"/>
      <c r="D10" s="95"/>
      <c r="E10" s="95"/>
      <c r="F10" s="96"/>
      <c r="G10" s="96"/>
      <c r="H10" s="96"/>
      <c r="I10" s="95"/>
      <c r="J10" s="95"/>
      <c r="K10" s="9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row>
    <row r="11" spans="1:197" s="2" customFormat="1" ht="18" customHeight="1" thickBot="1">
      <c r="A11" s="45" t="s">
        <v>12</v>
      </c>
      <c r="B11" s="95"/>
      <c r="C11" s="95"/>
      <c r="D11" s="95"/>
      <c r="E11" s="95"/>
      <c r="F11" s="96"/>
      <c r="G11" s="96"/>
      <c r="H11" s="202">
        <f>I1</f>
        <v>2016</v>
      </c>
      <c r="I11" s="95"/>
      <c r="J11" s="95"/>
      <c r="K11" s="9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row>
    <row r="12" spans="1:197" s="2" customFormat="1" ht="33" customHeight="1">
      <c r="A12" s="246" t="s">
        <v>418</v>
      </c>
      <c r="B12" s="246"/>
      <c r="C12" s="114"/>
      <c r="D12" s="115"/>
      <c r="E12" s="115"/>
      <c r="F12" s="174"/>
      <c r="G12" s="174"/>
      <c r="H12" s="174"/>
      <c r="I12" s="95"/>
      <c r="J12" s="95"/>
      <c r="K12" s="9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row>
    <row r="13" spans="1:197" s="2" customFormat="1" ht="48" customHeight="1">
      <c r="A13" s="235" t="s">
        <v>191</v>
      </c>
      <c r="B13" s="235"/>
      <c r="C13" s="175" t="s">
        <v>318</v>
      </c>
      <c r="D13" s="175" t="s">
        <v>319</v>
      </c>
      <c r="E13" s="175" t="s">
        <v>320</v>
      </c>
      <c r="F13" s="175" t="s">
        <v>321</v>
      </c>
      <c r="G13" s="117" t="s">
        <v>195</v>
      </c>
      <c r="H13" s="175" t="s">
        <v>322</v>
      </c>
      <c r="I13" s="95"/>
      <c r="J13" s="95"/>
      <c r="K13" s="9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row>
    <row r="14" spans="1:197" s="2" customFormat="1" ht="18" customHeight="1">
      <c r="A14" s="118" t="s">
        <v>200</v>
      </c>
      <c r="B14" s="31" t="s">
        <v>201</v>
      </c>
      <c r="C14" s="119">
        <f t="shared" ref="C14:F21" si="0">C97+C146</f>
        <v>76679.190000000293</v>
      </c>
      <c r="D14" s="119">
        <f t="shared" si="0"/>
        <v>0</v>
      </c>
      <c r="E14" s="119">
        <f t="shared" si="0"/>
        <v>76679.190000000293</v>
      </c>
      <c r="F14" s="119">
        <f t="shared" si="0"/>
        <v>76619.200000000303</v>
      </c>
      <c r="G14" s="121">
        <f t="shared" ref="G14:G22" si="1">IF(E14=0,"    --",F14/E14*100)</f>
        <v>99.92176495343783</v>
      </c>
      <c r="H14" s="119">
        <f t="shared" ref="H14:H21" si="2">G97+G146</f>
        <v>59.99</v>
      </c>
      <c r="I14" s="95"/>
      <c r="J14" s="95"/>
      <c r="K14" s="9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row>
    <row r="15" spans="1:197" s="2" customFormat="1" ht="18" customHeight="1">
      <c r="A15" s="118" t="s">
        <v>202</v>
      </c>
      <c r="B15" s="31" t="s">
        <v>203</v>
      </c>
      <c r="C15" s="119">
        <f t="shared" si="0"/>
        <v>258663.43999999997</v>
      </c>
      <c r="D15" s="119">
        <f t="shared" si="0"/>
        <v>0</v>
      </c>
      <c r="E15" s="119">
        <f t="shared" si="0"/>
        <v>258663.43999999997</v>
      </c>
      <c r="F15" s="119">
        <f t="shared" si="0"/>
        <v>258741.56999999998</v>
      </c>
      <c r="G15" s="121">
        <f t="shared" si="1"/>
        <v>100.03020527369466</v>
      </c>
      <c r="H15" s="119">
        <f t="shared" si="2"/>
        <v>-78.129999999993743</v>
      </c>
      <c r="I15" s="95"/>
      <c r="J15" s="95"/>
      <c r="K15" s="9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row>
    <row r="16" spans="1:197" s="2" customFormat="1" ht="18" customHeight="1">
      <c r="A16" s="118" t="s">
        <v>204</v>
      </c>
      <c r="B16" s="31" t="s">
        <v>205</v>
      </c>
      <c r="C16" s="119">
        <f t="shared" si="0"/>
        <v>0</v>
      </c>
      <c r="D16" s="119">
        <f t="shared" si="0"/>
        <v>0</v>
      </c>
      <c r="E16" s="119">
        <f t="shared" si="0"/>
        <v>0</v>
      </c>
      <c r="F16" s="119">
        <f t="shared" si="0"/>
        <v>0</v>
      </c>
      <c r="G16" s="121" t="str">
        <f t="shared" si="1"/>
        <v xml:space="preserve">    --</v>
      </c>
      <c r="H16" s="119">
        <f t="shared" si="2"/>
        <v>0</v>
      </c>
      <c r="I16" s="95"/>
      <c r="J16" s="95"/>
      <c r="K16" s="9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row>
    <row r="17" spans="1:115" s="2" customFormat="1" ht="18" customHeight="1">
      <c r="A17" s="118" t="s">
        <v>206</v>
      </c>
      <c r="B17" s="31" t="s">
        <v>207</v>
      </c>
      <c r="C17" s="119">
        <f t="shared" si="0"/>
        <v>132181.52000000002</v>
      </c>
      <c r="D17" s="119">
        <f t="shared" si="0"/>
        <v>0</v>
      </c>
      <c r="E17" s="119">
        <f t="shared" si="0"/>
        <v>132181.52000000002</v>
      </c>
      <c r="F17" s="119">
        <f t="shared" si="0"/>
        <v>131256.76</v>
      </c>
      <c r="G17" s="121">
        <f t="shared" si="1"/>
        <v>99.300386317240111</v>
      </c>
      <c r="H17" s="119">
        <f t="shared" si="2"/>
        <v>924.76000000000931</v>
      </c>
      <c r="I17" s="95"/>
      <c r="J17" s="95"/>
      <c r="K17" s="9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row>
    <row r="18" spans="1:115" s="2" customFormat="1" ht="18" customHeight="1">
      <c r="A18" s="118" t="s">
        <v>208</v>
      </c>
      <c r="B18" s="31" t="s">
        <v>209</v>
      </c>
      <c r="C18" s="119">
        <f t="shared" si="0"/>
        <v>12815.659999999998</v>
      </c>
      <c r="D18" s="119">
        <f t="shared" si="0"/>
        <v>0</v>
      </c>
      <c r="E18" s="119">
        <f t="shared" si="0"/>
        <v>12815.659999999998</v>
      </c>
      <c r="F18" s="119">
        <f t="shared" si="0"/>
        <v>12815.659999999998</v>
      </c>
      <c r="G18" s="121">
        <f t="shared" si="1"/>
        <v>100</v>
      </c>
      <c r="H18" s="119">
        <f t="shared" si="2"/>
        <v>0</v>
      </c>
      <c r="I18" s="95"/>
      <c r="J18" s="95"/>
      <c r="K18" s="9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row>
    <row r="19" spans="1:115" s="2" customFormat="1" ht="18" customHeight="1">
      <c r="A19" s="118" t="s">
        <v>210</v>
      </c>
      <c r="B19" s="31" t="s">
        <v>211</v>
      </c>
      <c r="C19" s="119">
        <f t="shared" si="0"/>
        <v>5347.0500000000029</v>
      </c>
      <c r="D19" s="119">
        <f t="shared" si="0"/>
        <v>0</v>
      </c>
      <c r="E19" s="119">
        <f t="shared" si="0"/>
        <v>5347.0500000000029</v>
      </c>
      <c r="F19" s="119">
        <f t="shared" si="0"/>
        <v>5347.0500000000029</v>
      </c>
      <c r="G19" s="121">
        <f t="shared" si="1"/>
        <v>100</v>
      </c>
      <c r="H19" s="119">
        <f t="shared" si="2"/>
        <v>0</v>
      </c>
      <c r="I19" s="95"/>
      <c r="J19" s="95"/>
      <c r="K19" s="9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row>
    <row r="20" spans="1:115" s="2" customFormat="1" ht="18" customHeight="1">
      <c r="A20" s="118" t="s">
        <v>212</v>
      </c>
      <c r="B20" s="31" t="s">
        <v>213</v>
      </c>
      <c r="C20" s="119">
        <f t="shared" si="0"/>
        <v>0</v>
      </c>
      <c r="D20" s="119">
        <f t="shared" si="0"/>
        <v>0</v>
      </c>
      <c r="E20" s="119">
        <f t="shared" si="0"/>
        <v>0</v>
      </c>
      <c r="F20" s="119">
        <f t="shared" si="0"/>
        <v>0</v>
      </c>
      <c r="G20" s="121" t="str">
        <f t="shared" si="1"/>
        <v xml:space="preserve">    --</v>
      </c>
      <c r="H20" s="119">
        <f t="shared" si="2"/>
        <v>0</v>
      </c>
      <c r="I20" s="95"/>
      <c r="J20" s="95"/>
      <c r="K20" s="9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row>
    <row r="21" spans="1:115" s="2" customFormat="1" ht="18" customHeight="1">
      <c r="A21" s="118" t="s">
        <v>214</v>
      </c>
      <c r="B21" s="31" t="s">
        <v>215</v>
      </c>
      <c r="C21" s="119">
        <f t="shared" si="0"/>
        <v>0</v>
      </c>
      <c r="D21" s="119">
        <f t="shared" si="0"/>
        <v>0</v>
      </c>
      <c r="E21" s="119">
        <f t="shared" si="0"/>
        <v>0</v>
      </c>
      <c r="F21" s="119">
        <f t="shared" si="0"/>
        <v>0</v>
      </c>
      <c r="G21" s="121" t="str">
        <f t="shared" si="1"/>
        <v xml:space="preserve">    --</v>
      </c>
      <c r="H21" s="119">
        <f t="shared" si="2"/>
        <v>0</v>
      </c>
      <c r="I21" s="95"/>
      <c r="J21" s="95"/>
      <c r="K21" s="9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row>
    <row r="22" spans="1:115" s="2" customFormat="1" ht="18" customHeight="1" thickBot="1">
      <c r="A22" s="240" t="s">
        <v>320</v>
      </c>
      <c r="B22" s="240"/>
      <c r="C22" s="122">
        <f>SUM(C14:C21)</f>
        <v>485686.86000000022</v>
      </c>
      <c r="D22" s="122">
        <f>SUM(D14:D21)</f>
        <v>0</v>
      </c>
      <c r="E22" s="122">
        <f>SUM(E14:E21)</f>
        <v>485686.86000000022</v>
      </c>
      <c r="F22" s="122">
        <f>SUM(F14:F21)</f>
        <v>484780.24000000022</v>
      </c>
      <c r="G22" s="123">
        <f t="shared" si="1"/>
        <v>99.8133324010454</v>
      </c>
      <c r="H22" s="122">
        <f>SUM(H14:H21)</f>
        <v>906.62000000001558</v>
      </c>
      <c r="I22" s="95"/>
      <c r="J22" s="95"/>
      <c r="K22" s="9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row>
    <row r="23" spans="1:115" s="2" customFormat="1" ht="12.95" customHeight="1">
      <c r="A23" s="128"/>
      <c r="B23" s="128"/>
      <c r="C23" s="129"/>
      <c r="D23" s="98"/>
      <c r="E23" s="98"/>
      <c r="F23" s="98"/>
      <c r="G23" s="98"/>
      <c r="H23" s="98"/>
      <c r="I23" s="95"/>
      <c r="J23" s="95"/>
      <c r="K23" s="9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row>
    <row r="24" spans="1:115" s="2" customFormat="1" ht="12.95" customHeight="1">
      <c r="A24" s="128"/>
      <c r="B24" s="128"/>
      <c r="C24" s="129"/>
      <c r="D24" s="98"/>
      <c r="E24" s="98"/>
      <c r="F24" s="98"/>
      <c r="G24" s="98"/>
      <c r="H24" s="98"/>
      <c r="I24" s="95"/>
      <c r="J24" s="95"/>
      <c r="K24" s="9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row>
    <row r="25" spans="1:115" s="2" customFormat="1" ht="18" customHeight="1" thickBot="1">
      <c r="A25" s="45" t="s">
        <v>12</v>
      </c>
      <c r="B25" s="128"/>
      <c r="C25" s="129"/>
      <c r="D25" s="98"/>
      <c r="E25" s="98"/>
      <c r="F25" s="98"/>
      <c r="G25" s="98"/>
      <c r="H25" s="98"/>
      <c r="I25" s="202">
        <f>I1</f>
        <v>2016</v>
      </c>
      <c r="J25" s="99"/>
      <c r="K25" s="98"/>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row>
    <row r="26" spans="1:115" s="2" customFormat="1" ht="33" customHeight="1">
      <c r="A26" s="246" t="s">
        <v>417</v>
      </c>
      <c r="B26" s="246"/>
      <c r="C26" s="114"/>
      <c r="D26" s="115"/>
      <c r="E26" s="115"/>
      <c r="F26" s="174"/>
      <c r="G26" s="174"/>
      <c r="H26" s="174"/>
      <c r="I26" s="174"/>
      <c r="J26" s="99"/>
      <c r="K26" s="98"/>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row>
    <row r="27" spans="1:115" s="2" customFormat="1" ht="48" customHeight="1">
      <c r="A27" s="235" t="s">
        <v>191</v>
      </c>
      <c r="B27" s="235"/>
      <c r="C27" s="175" t="s">
        <v>323</v>
      </c>
      <c r="D27" s="175" t="s">
        <v>324</v>
      </c>
      <c r="E27" s="175" t="s">
        <v>325</v>
      </c>
      <c r="F27" s="175" t="s">
        <v>326</v>
      </c>
      <c r="G27" s="117" t="s">
        <v>196</v>
      </c>
      <c r="H27" s="175" t="s">
        <v>327</v>
      </c>
      <c r="I27" s="175" t="s">
        <v>328</v>
      </c>
      <c r="J27" s="99"/>
      <c r="K27" s="98"/>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row>
    <row r="28" spans="1:115" s="2" customFormat="1" ht="18" customHeight="1">
      <c r="A28" s="118" t="s">
        <v>200</v>
      </c>
      <c r="B28" s="31" t="s">
        <v>220</v>
      </c>
      <c r="C28" s="119">
        <f t="shared" ref="C28:D36" si="3">C111+C160</f>
        <v>0</v>
      </c>
      <c r="D28" s="119">
        <f t="shared" si="3"/>
        <v>0</v>
      </c>
      <c r="E28" s="119">
        <f t="shared" ref="E28:E36" si="4">E111+F111+E160+F160</f>
        <v>0</v>
      </c>
      <c r="F28" s="119">
        <f t="shared" ref="F28:F36" si="5">I111+J111+I160+J160</f>
        <v>0</v>
      </c>
      <c r="G28" s="121" t="str">
        <f>IF((C28-D28-E28-F28)=0,"    --",H28/(C28+D28-E28-F28)*100)</f>
        <v xml:space="preserve">    --</v>
      </c>
      <c r="H28" s="119">
        <f t="shared" ref="H28:H36" si="6">H111+H160</f>
        <v>0</v>
      </c>
      <c r="I28" s="119">
        <f>K111+K160</f>
        <v>0</v>
      </c>
      <c r="J28" s="99"/>
      <c r="K28" s="98"/>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row>
    <row r="29" spans="1:115" s="2" customFormat="1" ht="18" customHeight="1">
      <c r="A29" s="118" t="s">
        <v>202</v>
      </c>
      <c r="B29" s="31" t="s">
        <v>221</v>
      </c>
      <c r="C29" s="119">
        <f t="shared" si="3"/>
        <v>0</v>
      </c>
      <c r="D29" s="119">
        <f t="shared" si="3"/>
        <v>0</v>
      </c>
      <c r="E29" s="119">
        <f t="shared" si="4"/>
        <v>0</v>
      </c>
      <c r="F29" s="119">
        <f t="shared" si="5"/>
        <v>0</v>
      </c>
      <c r="G29" s="121" t="str">
        <f t="shared" ref="G29:G36" si="7">IF((C29-D29-E29-F29)=0,"    --",H29/(C29+D29-E29-F29)*100)</f>
        <v xml:space="preserve">    --</v>
      </c>
      <c r="H29" s="119">
        <f t="shared" si="6"/>
        <v>0</v>
      </c>
      <c r="I29" s="119">
        <f t="shared" ref="I29:I36" si="8">K112+K161</f>
        <v>0</v>
      </c>
      <c r="J29" s="99"/>
      <c r="K29" s="98"/>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row>
    <row r="30" spans="1:115" s="2" customFormat="1" ht="18" customHeight="1">
      <c r="A30" s="118" t="s">
        <v>204</v>
      </c>
      <c r="B30" s="31" t="s">
        <v>222</v>
      </c>
      <c r="C30" s="119">
        <f t="shared" si="3"/>
        <v>792858.39999999944</v>
      </c>
      <c r="D30" s="119">
        <f t="shared" si="3"/>
        <v>-28892.61</v>
      </c>
      <c r="E30" s="119">
        <f t="shared" si="4"/>
        <v>0</v>
      </c>
      <c r="F30" s="119">
        <f t="shared" si="5"/>
        <v>0</v>
      </c>
      <c r="G30" s="121">
        <f t="shared" si="7"/>
        <v>99.401039934000252</v>
      </c>
      <c r="H30" s="119">
        <f t="shared" si="6"/>
        <v>759389.94</v>
      </c>
      <c r="I30" s="119">
        <f t="shared" si="8"/>
        <v>4575.8499999995338</v>
      </c>
      <c r="J30" s="99"/>
      <c r="K30" s="98"/>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row>
    <row r="31" spans="1:115" s="2" customFormat="1" ht="18" customHeight="1">
      <c r="A31" s="118" t="s">
        <v>206</v>
      </c>
      <c r="B31" s="31" t="s">
        <v>207</v>
      </c>
      <c r="C31" s="119">
        <f t="shared" si="3"/>
        <v>12048249.029999999</v>
      </c>
      <c r="D31" s="119">
        <f t="shared" si="3"/>
        <v>-2847334.5700000003</v>
      </c>
      <c r="E31" s="119">
        <f t="shared" si="4"/>
        <v>16210.62</v>
      </c>
      <c r="F31" s="119">
        <f t="shared" si="5"/>
        <v>0</v>
      </c>
      <c r="G31" s="121">
        <f t="shared" si="7"/>
        <v>99.921861171301515</v>
      </c>
      <c r="H31" s="119">
        <f t="shared" si="6"/>
        <v>9177527.0199999996</v>
      </c>
      <c r="I31" s="119">
        <f t="shared" si="8"/>
        <v>7176.8199999998105</v>
      </c>
      <c r="J31" s="99"/>
      <c r="K31" s="98"/>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row>
    <row r="32" spans="1:115" s="2" customFormat="1" ht="18" customHeight="1">
      <c r="A32" s="118" t="s">
        <v>223</v>
      </c>
      <c r="B32" s="31" t="s">
        <v>224</v>
      </c>
      <c r="C32" s="119">
        <f t="shared" si="3"/>
        <v>4302.7199999999975</v>
      </c>
      <c r="D32" s="119">
        <f t="shared" si="3"/>
        <v>0</v>
      </c>
      <c r="E32" s="119">
        <f t="shared" si="4"/>
        <v>0</v>
      </c>
      <c r="F32" s="119">
        <f t="shared" si="5"/>
        <v>0</v>
      </c>
      <c r="G32" s="121">
        <f t="shared" si="7"/>
        <v>50.000000000000036</v>
      </c>
      <c r="H32" s="119">
        <f t="shared" si="6"/>
        <v>2151.36</v>
      </c>
      <c r="I32" s="119">
        <f t="shared" si="8"/>
        <v>2151.3599999999974</v>
      </c>
      <c r="J32" s="99"/>
      <c r="K32" s="98"/>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row>
    <row r="33" spans="1:197" s="2" customFormat="1" ht="18" customHeight="1">
      <c r="A33" s="118" t="s">
        <v>208</v>
      </c>
      <c r="B33" s="31" t="s">
        <v>225</v>
      </c>
      <c r="C33" s="119">
        <f t="shared" si="3"/>
        <v>0</v>
      </c>
      <c r="D33" s="119">
        <f t="shared" si="3"/>
        <v>0</v>
      </c>
      <c r="E33" s="119">
        <f t="shared" si="4"/>
        <v>0</v>
      </c>
      <c r="F33" s="119">
        <f t="shared" si="5"/>
        <v>0</v>
      </c>
      <c r="G33" s="121" t="str">
        <f t="shared" si="7"/>
        <v xml:space="preserve">    --</v>
      </c>
      <c r="H33" s="119">
        <f t="shared" si="6"/>
        <v>0</v>
      </c>
      <c r="I33" s="119">
        <f t="shared" si="8"/>
        <v>0</v>
      </c>
      <c r="J33" s="99"/>
      <c r="K33" s="98"/>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row>
    <row r="34" spans="1:197" s="2" customFormat="1" ht="18" customHeight="1">
      <c r="A34" s="118" t="s">
        <v>210</v>
      </c>
      <c r="B34" s="31" t="s">
        <v>211</v>
      </c>
      <c r="C34" s="119">
        <f t="shared" si="3"/>
        <v>386331.67000000004</v>
      </c>
      <c r="D34" s="119">
        <f t="shared" si="3"/>
        <v>-0.99</v>
      </c>
      <c r="E34" s="119">
        <f t="shared" si="4"/>
        <v>0</v>
      </c>
      <c r="F34" s="119">
        <f t="shared" si="5"/>
        <v>0</v>
      </c>
      <c r="G34" s="121">
        <f t="shared" si="7"/>
        <v>100</v>
      </c>
      <c r="H34" s="119">
        <f t="shared" si="6"/>
        <v>386330.68000000005</v>
      </c>
      <c r="I34" s="119">
        <f t="shared" si="8"/>
        <v>0</v>
      </c>
      <c r="J34" s="99"/>
      <c r="K34" s="98"/>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row>
    <row r="35" spans="1:197" s="2" customFormat="1" ht="18" customHeight="1">
      <c r="A35" s="118" t="s">
        <v>212</v>
      </c>
      <c r="B35" s="31" t="s">
        <v>213</v>
      </c>
      <c r="C35" s="119">
        <f t="shared" si="3"/>
        <v>0</v>
      </c>
      <c r="D35" s="119">
        <f t="shared" si="3"/>
        <v>0</v>
      </c>
      <c r="E35" s="119">
        <f t="shared" si="4"/>
        <v>0</v>
      </c>
      <c r="F35" s="119">
        <f t="shared" si="5"/>
        <v>0</v>
      </c>
      <c r="G35" s="121" t="str">
        <f t="shared" si="7"/>
        <v xml:space="preserve">    --</v>
      </c>
      <c r="H35" s="119">
        <f t="shared" si="6"/>
        <v>0</v>
      </c>
      <c r="I35" s="119">
        <f t="shared" si="8"/>
        <v>0</v>
      </c>
      <c r="J35" s="99"/>
      <c r="K35" s="98"/>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row>
    <row r="36" spans="1:197" s="2" customFormat="1" ht="18" customHeight="1">
      <c r="A36" s="118" t="s">
        <v>214</v>
      </c>
      <c r="B36" s="31" t="s">
        <v>215</v>
      </c>
      <c r="C36" s="119">
        <f t="shared" si="3"/>
        <v>0</v>
      </c>
      <c r="D36" s="119">
        <f t="shared" si="3"/>
        <v>0</v>
      </c>
      <c r="E36" s="119">
        <f t="shared" si="4"/>
        <v>0</v>
      </c>
      <c r="F36" s="119">
        <f t="shared" si="5"/>
        <v>0</v>
      </c>
      <c r="G36" s="121" t="str">
        <f t="shared" si="7"/>
        <v xml:space="preserve">    --</v>
      </c>
      <c r="H36" s="119">
        <f t="shared" si="6"/>
        <v>0</v>
      </c>
      <c r="I36" s="119">
        <f t="shared" si="8"/>
        <v>0</v>
      </c>
      <c r="J36" s="99"/>
      <c r="K36" s="98"/>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row>
    <row r="37" spans="1:197" s="2" customFormat="1" ht="18" customHeight="1" thickBot="1">
      <c r="A37" s="240" t="s">
        <v>329</v>
      </c>
      <c r="B37" s="240"/>
      <c r="C37" s="122">
        <f>SUM(C28:C36)</f>
        <v>13231741.82</v>
      </c>
      <c r="D37" s="122">
        <f t="shared" ref="D37:I37" si="9">SUM(D28:D36)</f>
        <v>-2876228.1700000004</v>
      </c>
      <c r="E37" s="122">
        <f t="shared" si="9"/>
        <v>16210.62</v>
      </c>
      <c r="F37" s="122">
        <f t="shared" si="9"/>
        <v>0</v>
      </c>
      <c r="G37" s="176">
        <f>IF((C37-D37-E37-F37)=0,"    --",H37/(C37+D37-E37-F37)*100)</f>
        <v>99.86552256027646</v>
      </c>
      <c r="H37" s="122">
        <f t="shared" si="9"/>
        <v>10325398.999999998</v>
      </c>
      <c r="I37" s="122">
        <f t="shared" si="9"/>
        <v>13904.02999999934</v>
      </c>
      <c r="J37" s="99"/>
      <c r="K37" s="98"/>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row>
    <row r="38" spans="1:197" s="2" customFormat="1" ht="12.95" customHeight="1">
      <c r="A38" s="24"/>
      <c r="B38" s="95"/>
      <c r="C38" s="95"/>
      <c r="D38" s="95"/>
      <c r="E38" s="95"/>
      <c r="F38" s="96"/>
      <c r="G38" s="96"/>
      <c r="H38" s="96"/>
      <c r="I38" s="95"/>
      <c r="J38" s="95"/>
      <c r="K38" s="9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row>
    <row r="39" spans="1:197" s="2" customFormat="1" ht="12.95" customHeight="1">
      <c r="A39" s="24"/>
      <c r="B39" s="95"/>
      <c r="C39" s="95"/>
      <c r="D39" s="95"/>
      <c r="E39" s="95"/>
      <c r="F39" s="96"/>
      <c r="G39" s="96"/>
      <c r="H39" s="96"/>
      <c r="I39" s="95"/>
      <c r="J39" s="95"/>
      <c r="K39" s="9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row>
    <row r="40" spans="1:197" ht="12.95" customHeight="1"/>
    <row r="41" spans="1:197" ht="21" customHeight="1">
      <c r="A41" s="97" t="s">
        <v>412</v>
      </c>
      <c r="E41" s="97" t="s">
        <v>413</v>
      </c>
    </row>
    <row r="42" spans="1:197" ht="12.95" customHeight="1"/>
    <row r="43" spans="1:197" ht="18" customHeight="1" thickBot="1">
      <c r="A43" s="32" t="s">
        <v>12</v>
      </c>
      <c r="E43" s="32" t="s">
        <v>12</v>
      </c>
    </row>
    <row r="44" spans="1:197" s="32" customFormat="1" ht="33" customHeight="1">
      <c r="A44" s="246" t="s">
        <v>16</v>
      </c>
      <c r="B44" s="246"/>
      <c r="C44" s="28">
        <f>I1</f>
        <v>2016</v>
      </c>
      <c r="E44" s="246" t="s">
        <v>16</v>
      </c>
      <c r="F44" s="246"/>
      <c r="G44" s="168"/>
      <c r="H44" s="28">
        <f>I1</f>
        <v>2016</v>
      </c>
      <c r="I44" s="3"/>
    </row>
    <row r="45" spans="1:197" s="32" customFormat="1" ht="18" customHeight="1">
      <c r="A45" s="169" t="s">
        <v>330</v>
      </c>
      <c r="B45" s="169" t="s">
        <v>331</v>
      </c>
      <c r="C45" s="170">
        <f t="shared" ref="C45:C61" si="10">C124+C173</f>
        <v>7942788.2699999996</v>
      </c>
      <c r="E45" s="169" t="s">
        <v>332</v>
      </c>
      <c r="F45" s="169"/>
      <c r="G45" s="170"/>
      <c r="H45" s="141">
        <f t="shared" ref="H45:H56" si="11">F124+F173</f>
        <v>62788825.109999999</v>
      </c>
      <c r="I45" s="3"/>
    </row>
    <row r="46" spans="1:197" s="32" customFormat="1" ht="18" customHeight="1">
      <c r="A46" s="31" t="s">
        <v>333</v>
      </c>
      <c r="B46" s="31" t="s">
        <v>334</v>
      </c>
      <c r="C46" s="36">
        <f t="shared" si="10"/>
        <v>7913344.2899999991</v>
      </c>
      <c r="E46" s="234" t="s">
        <v>335</v>
      </c>
      <c r="F46" s="234"/>
      <c r="G46" s="234"/>
      <c r="H46" s="142">
        <f t="shared" si="11"/>
        <v>36462853.890000001</v>
      </c>
      <c r="I46" s="3"/>
    </row>
    <row r="47" spans="1:197" s="32" customFormat="1" ht="18" customHeight="1">
      <c r="A47" s="31" t="s">
        <v>333</v>
      </c>
      <c r="B47" s="31" t="s">
        <v>336</v>
      </c>
      <c r="C47" s="36">
        <f t="shared" si="10"/>
        <v>13904.029999999999</v>
      </c>
      <c r="E47" s="234" t="s">
        <v>337</v>
      </c>
      <c r="F47" s="234"/>
      <c r="G47" s="234"/>
      <c r="H47" s="142">
        <f t="shared" si="11"/>
        <v>10325399.000000002</v>
      </c>
      <c r="I47" s="3"/>
    </row>
    <row r="48" spans="1:197" s="32" customFormat="1" ht="18" customHeight="1">
      <c r="A48" s="31" t="s">
        <v>338</v>
      </c>
      <c r="B48" s="31" t="s">
        <v>339</v>
      </c>
      <c r="C48" s="36">
        <f t="shared" si="10"/>
        <v>16984.509999999998</v>
      </c>
      <c r="E48" s="234" t="s">
        <v>340</v>
      </c>
      <c r="F48" s="234"/>
      <c r="G48" s="234"/>
      <c r="H48" s="142">
        <f t="shared" si="11"/>
        <v>16000572.220000001</v>
      </c>
      <c r="I48" s="3"/>
    </row>
    <row r="49" spans="1:9" s="32" customFormat="1" ht="18" customHeight="1">
      <c r="A49" s="31" t="s">
        <v>338</v>
      </c>
      <c r="B49" s="31" t="s">
        <v>341</v>
      </c>
      <c r="C49" s="36">
        <f t="shared" si="10"/>
        <v>0</v>
      </c>
      <c r="E49" s="234" t="s">
        <v>342</v>
      </c>
      <c r="F49" s="234"/>
      <c r="G49" s="234"/>
      <c r="H49" s="142">
        <f t="shared" si="11"/>
        <v>0</v>
      </c>
      <c r="I49" s="3"/>
    </row>
    <row r="50" spans="1:9" s="32" customFormat="1" ht="18" customHeight="1">
      <c r="A50" s="31" t="s">
        <v>343</v>
      </c>
      <c r="B50" s="31" t="s">
        <v>344</v>
      </c>
      <c r="C50" s="36">
        <f t="shared" si="10"/>
        <v>1444.52</v>
      </c>
      <c r="E50" s="143" t="s">
        <v>345</v>
      </c>
      <c r="F50" s="143"/>
      <c r="G50" s="30"/>
      <c r="H50" s="193">
        <f t="shared" si="11"/>
        <v>61625218.529999994</v>
      </c>
      <c r="I50" s="3"/>
    </row>
    <row r="51" spans="1:9" s="32" customFormat="1" ht="18" customHeight="1">
      <c r="A51" s="31" t="s">
        <v>346</v>
      </c>
      <c r="B51" s="31" t="s">
        <v>347</v>
      </c>
      <c r="C51" s="36">
        <f t="shared" si="10"/>
        <v>0.04</v>
      </c>
      <c r="E51" s="234" t="s">
        <v>335</v>
      </c>
      <c r="F51" s="234"/>
      <c r="G51" s="234"/>
      <c r="H51" s="142">
        <f t="shared" si="11"/>
        <v>40270636.93</v>
      </c>
      <c r="I51" s="3"/>
    </row>
    <row r="52" spans="1:9" s="32" customFormat="1" ht="18" customHeight="1">
      <c r="A52" s="143" t="s">
        <v>348</v>
      </c>
      <c r="B52" s="143" t="s">
        <v>349</v>
      </c>
      <c r="C52" s="30">
        <f t="shared" si="10"/>
        <v>3496994.6399999997</v>
      </c>
      <c r="E52" s="234" t="s">
        <v>337</v>
      </c>
      <c r="F52" s="234"/>
      <c r="G52" s="234"/>
      <c r="H52" s="142">
        <f t="shared" si="11"/>
        <v>484780.23999999993</v>
      </c>
      <c r="I52" s="3"/>
    </row>
    <row r="53" spans="1:9" s="32" customFormat="1" ht="18" customHeight="1">
      <c r="A53" s="31" t="s">
        <v>350</v>
      </c>
      <c r="B53" s="31" t="s">
        <v>351</v>
      </c>
      <c r="C53" s="36">
        <f t="shared" si="10"/>
        <v>585817.54999999993</v>
      </c>
      <c r="E53" s="234" t="s">
        <v>340</v>
      </c>
      <c r="F53" s="234"/>
      <c r="G53" s="234"/>
      <c r="H53" s="142">
        <f t="shared" si="11"/>
        <v>20869801.360000003</v>
      </c>
      <c r="I53" s="3"/>
    </row>
    <row r="54" spans="1:9" s="32" customFormat="1" ht="18" customHeight="1">
      <c r="A54" s="31" t="s">
        <v>350</v>
      </c>
      <c r="B54" s="31" t="s">
        <v>352</v>
      </c>
      <c r="C54" s="36">
        <f t="shared" si="10"/>
        <v>906.61999999999989</v>
      </c>
      <c r="E54" s="248" t="s">
        <v>342</v>
      </c>
      <c r="F54" s="248"/>
      <c r="G54" s="248"/>
      <c r="H54" s="142">
        <f t="shared" si="11"/>
        <v>0</v>
      </c>
      <c r="I54" s="3"/>
    </row>
    <row r="55" spans="1:9" s="32" customFormat="1" ht="18" customHeight="1">
      <c r="A55" s="31" t="s">
        <v>350</v>
      </c>
      <c r="B55" s="31" t="s">
        <v>353</v>
      </c>
      <c r="C55" s="36">
        <f t="shared" si="10"/>
        <v>2912439.44</v>
      </c>
      <c r="E55" s="169" t="s">
        <v>354</v>
      </c>
      <c r="F55" s="169"/>
      <c r="G55" s="170"/>
      <c r="H55" s="193">
        <f t="shared" si="11"/>
        <v>1163606.5800000026</v>
      </c>
      <c r="I55" s="3"/>
    </row>
    <row r="56" spans="1:9" s="32" customFormat="1" ht="18" customHeight="1">
      <c r="A56" s="31" t="s">
        <v>338</v>
      </c>
      <c r="B56" s="31" t="s">
        <v>355</v>
      </c>
      <c r="C56" s="36">
        <f t="shared" si="10"/>
        <v>0</v>
      </c>
      <c r="E56" s="169" t="s">
        <v>356</v>
      </c>
      <c r="F56" s="169"/>
      <c r="G56" s="170"/>
      <c r="H56" s="141">
        <f t="shared" si="11"/>
        <v>6047167.0199999996</v>
      </c>
      <c r="I56" s="3"/>
    </row>
    <row r="57" spans="1:9" s="32" customFormat="1" ht="18" customHeight="1">
      <c r="A57" s="31" t="s">
        <v>346</v>
      </c>
      <c r="B57" s="31" t="s">
        <v>357</v>
      </c>
      <c r="C57" s="36">
        <f t="shared" si="10"/>
        <v>2168.9699999999998</v>
      </c>
    </row>
    <row r="58" spans="1:9" s="32" customFormat="1" ht="18" customHeight="1" thickBot="1">
      <c r="A58" s="143" t="s">
        <v>358</v>
      </c>
      <c r="B58" s="143" t="s">
        <v>359</v>
      </c>
      <c r="C58" s="30">
        <f t="shared" si="10"/>
        <v>7210773.5999999996</v>
      </c>
      <c r="E58" s="177" t="s">
        <v>360</v>
      </c>
      <c r="F58" s="177"/>
      <c r="G58" s="37"/>
      <c r="H58" s="192">
        <f>F136+F185</f>
        <v>7210773.6000000034</v>
      </c>
    </row>
    <row r="59" spans="1:9" s="32" customFormat="1" ht="18" customHeight="1">
      <c r="A59" s="178" t="s">
        <v>361</v>
      </c>
      <c r="B59" s="143" t="s">
        <v>362</v>
      </c>
      <c r="C59" s="30">
        <f t="shared" si="10"/>
        <v>0</v>
      </c>
    </row>
    <row r="60" spans="1:9" s="32" customFormat="1" ht="18" customHeight="1">
      <c r="A60" s="178" t="s">
        <v>363</v>
      </c>
      <c r="B60" s="143" t="s">
        <v>364</v>
      </c>
      <c r="C60" s="30">
        <f t="shared" si="10"/>
        <v>11656567.229999999</v>
      </c>
      <c r="D60" s="39"/>
      <c r="H60" s="39"/>
    </row>
    <row r="61" spans="1:9" s="32" customFormat="1" ht="18" customHeight="1" thickBot="1">
      <c r="A61" s="179" t="s">
        <v>365</v>
      </c>
      <c r="B61" s="180" t="s">
        <v>366</v>
      </c>
      <c r="C61" s="192">
        <f t="shared" si="10"/>
        <v>11656567.23</v>
      </c>
      <c r="D61" s="39"/>
      <c r="E61" s="39"/>
    </row>
    <row r="62" spans="1:9" s="32" customFormat="1" ht="12.95" customHeight="1">
      <c r="E62" s="39"/>
    </row>
    <row r="63" spans="1:9" s="32" customFormat="1" ht="12.95" customHeight="1"/>
    <row r="64" spans="1:9" s="32" customFormat="1" ht="21" customHeight="1">
      <c r="A64" s="97" t="s">
        <v>46</v>
      </c>
    </row>
    <row r="65" spans="1:18" s="32" customFormat="1" ht="12.95" customHeight="1">
      <c r="A65" s="97"/>
    </row>
    <row r="66" spans="1:18" s="32" customFormat="1" ht="12.95" customHeight="1" thickBot="1">
      <c r="L66" s="41">
        <v>11200</v>
      </c>
      <c r="M66" s="41">
        <v>11201</v>
      </c>
      <c r="N66" s="41">
        <v>11202</v>
      </c>
      <c r="O66" s="41">
        <v>11203</v>
      </c>
      <c r="P66" s="41">
        <v>11204</v>
      </c>
      <c r="Q66" s="41">
        <v>11205</v>
      </c>
      <c r="R66" s="41">
        <v>11206</v>
      </c>
    </row>
    <row r="67" spans="1:18" s="32" customFormat="1" ht="33" customHeight="1">
      <c r="A67" s="246" t="s">
        <v>59</v>
      </c>
      <c r="B67" s="246"/>
      <c r="C67" s="27"/>
      <c r="D67" s="28">
        <f>I1</f>
        <v>2016</v>
      </c>
      <c r="L67" s="41" t="s">
        <v>10</v>
      </c>
      <c r="M67" s="41" t="s">
        <v>10</v>
      </c>
      <c r="N67" s="41" t="s">
        <v>10</v>
      </c>
      <c r="O67" s="41" t="s">
        <v>10</v>
      </c>
      <c r="P67" s="41" t="s">
        <v>10</v>
      </c>
      <c r="Q67" s="41" t="s">
        <v>10</v>
      </c>
      <c r="R67" s="41" t="s">
        <v>10</v>
      </c>
    </row>
    <row r="68" spans="1:18" s="32" customFormat="1" ht="18" customHeight="1" thickBot="1">
      <c r="A68" s="106" t="s">
        <v>44</v>
      </c>
      <c r="B68" s="107"/>
      <c r="C68" s="107"/>
      <c r="D68" s="108">
        <f>SUM(L70:R70)</f>
        <v>463</v>
      </c>
      <c r="L68" s="41" t="s">
        <v>0</v>
      </c>
      <c r="M68" s="41" t="s">
        <v>1</v>
      </c>
      <c r="N68" s="41" t="s">
        <v>2</v>
      </c>
      <c r="O68" s="41" t="s">
        <v>3</v>
      </c>
      <c r="P68" s="41" t="s">
        <v>484</v>
      </c>
      <c r="Q68" s="41" t="s">
        <v>4</v>
      </c>
      <c r="R68" s="41" t="s">
        <v>5</v>
      </c>
    </row>
    <row r="69" spans="1:18" s="32" customFormat="1" ht="18" customHeight="1">
      <c r="A69" s="3"/>
      <c r="B69" s="3"/>
      <c r="C69" s="3"/>
      <c r="D69" s="3"/>
      <c r="E69" s="101"/>
      <c r="F69" s="101"/>
      <c r="G69" s="101"/>
      <c r="H69" s="101"/>
      <c r="I69" s="101"/>
      <c r="L69" s="41"/>
      <c r="M69" s="41"/>
      <c r="N69" s="41"/>
      <c r="O69" s="41"/>
      <c r="P69" s="41"/>
      <c r="Q69" s="41"/>
      <c r="R69" s="41"/>
    </row>
    <row r="70" spans="1:18" s="32" customFormat="1" ht="18" customHeight="1">
      <c r="A70" s="1" t="str">
        <f>"* En su defecto, empleados a fin de ejercicio. Inlcuye los 99 diputados"</f>
        <v>* En su defecto, empleados a fin de ejercicio. Inlcuye los 99 diputados</v>
      </c>
      <c r="B70" s="3"/>
      <c r="C70" s="3"/>
      <c r="D70" s="3"/>
      <c r="E70" s="101"/>
      <c r="F70" s="101"/>
      <c r="G70" s="101"/>
      <c r="H70" s="101"/>
      <c r="I70" s="101"/>
      <c r="L70" s="101">
        <f>'[1]8100'!$D$6</f>
        <v>260</v>
      </c>
      <c r="M70" s="101">
        <f>'[2]8100'!$D$6</f>
        <v>87</v>
      </c>
      <c r="N70" s="101">
        <f>'[3]8100'!$D$6</f>
        <v>10</v>
      </c>
      <c r="O70" s="101">
        <f>'[4]8100'!$D$6</f>
        <v>37</v>
      </c>
      <c r="P70" s="101">
        <f>'[5]8100'!$D$6</f>
        <v>11</v>
      </c>
      <c r="Q70" s="101">
        <f>'[6]8100'!$D$6</f>
        <v>27</v>
      </c>
      <c r="R70" s="101">
        <f>'[7]8100'!$D$6</f>
        <v>31</v>
      </c>
    </row>
    <row r="71" spans="1:18" s="32" customFormat="1" ht="12.95" customHeight="1" thickBot="1">
      <c r="A71" s="1"/>
      <c r="B71" s="3"/>
      <c r="C71" s="3"/>
      <c r="D71" s="3"/>
      <c r="E71" s="101"/>
      <c r="F71" s="101"/>
      <c r="G71" s="101"/>
      <c r="H71" s="101"/>
      <c r="I71" s="101"/>
      <c r="L71" s="101"/>
      <c r="M71" s="101"/>
      <c r="N71" s="101"/>
      <c r="O71" s="101"/>
      <c r="P71" s="101"/>
      <c r="Q71" s="101"/>
      <c r="R71" s="101"/>
    </row>
    <row r="72" spans="1:18" s="32" customFormat="1" ht="33" customHeight="1">
      <c r="A72" s="246" t="s">
        <v>60</v>
      </c>
      <c r="B72" s="246"/>
      <c r="C72" s="27"/>
      <c r="D72" s="27"/>
      <c r="E72" s="27"/>
      <c r="F72" s="204"/>
      <c r="G72" s="204"/>
      <c r="H72" s="204"/>
      <c r="I72" s="28">
        <f>I1</f>
        <v>2016</v>
      </c>
      <c r="L72" s="41"/>
      <c r="M72" s="41"/>
      <c r="N72" s="41"/>
      <c r="O72" s="41"/>
      <c r="P72" s="41"/>
      <c r="Q72" s="41"/>
      <c r="R72" s="41"/>
    </row>
    <row r="73" spans="1:18" s="32" customFormat="1" ht="18" customHeight="1">
      <c r="A73" s="195" t="s">
        <v>490</v>
      </c>
      <c r="B73" s="195"/>
      <c r="C73" s="195"/>
      <c r="D73" s="195"/>
      <c r="E73" s="195"/>
      <c r="F73" s="195"/>
      <c r="G73" s="195"/>
      <c r="H73" s="195"/>
      <c r="I73" s="105">
        <f>SUM(L73:R73)</f>
        <v>0</v>
      </c>
      <c r="L73" s="100">
        <f>'[1]8100'!$H$10</f>
        <v>0</v>
      </c>
      <c r="M73" s="100">
        <f>'[2]8100'!$H$10</f>
        <v>0</v>
      </c>
      <c r="N73" s="100">
        <f>'[3]8100'!$H$10</f>
        <v>0</v>
      </c>
      <c r="O73" s="100">
        <f>'[4]8100'!$H$10</f>
        <v>0</v>
      </c>
      <c r="P73" s="100">
        <f>'[5]8100'!$H$10</f>
        <v>0</v>
      </c>
      <c r="Q73" s="100">
        <f>'[6]8100'!$H$10</f>
        <v>0</v>
      </c>
      <c r="R73" s="100">
        <f>'[7]8100'!$H$10</f>
        <v>0</v>
      </c>
    </row>
    <row r="74" spans="1:18" s="32" customFormat="1" ht="18" customHeight="1">
      <c r="A74" s="205" t="s">
        <v>491</v>
      </c>
      <c r="B74" s="169"/>
      <c r="D74" s="196"/>
      <c r="E74" s="196"/>
      <c r="F74" s="196"/>
      <c r="G74" s="196"/>
      <c r="H74" s="196"/>
      <c r="I74" s="105">
        <f>SUM(L74:R74)</f>
        <v>0</v>
      </c>
      <c r="L74" s="100">
        <f>'[1]8100'!$H$11</f>
        <v>0</v>
      </c>
      <c r="M74" s="100">
        <f>'[2]8100'!$H$11</f>
        <v>0</v>
      </c>
      <c r="N74" s="100">
        <f>'[3]8100'!$H$11</f>
        <v>0</v>
      </c>
      <c r="O74" s="100">
        <f>'[4]8100'!$H$11</f>
        <v>0</v>
      </c>
      <c r="P74" s="100">
        <f>'[5]8100'!$H$11</f>
        <v>0</v>
      </c>
      <c r="Q74" s="100">
        <f>'[6]8100'!$H$11</f>
        <v>0</v>
      </c>
      <c r="R74" s="100">
        <f>'[7]8100'!$H$11</f>
        <v>0</v>
      </c>
    </row>
    <row r="75" spans="1:18" ht="18" customHeight="1" thickBot="1">
      <c r="A75" s="103" t="s">
        <v>492</v>
      </c>
      <c r="B75" s="103"/>
      <c r="C75" s="103"/>
      <c r="D75" s="103"/>
      <c r="E75" s="103"/>
      <c r="F75" s="103"/>
      <c r="G75" s="103"/>
      <c r="H75" s="103"/>
      <c r="I75" s="109">
        <f>SUM(L75:R75)</f>
        <v>0</v>
      </c>
      <c r="L75" s="100">
        <f>'[1]8100'!$H$16</f>
        <v>0</v>
      </c>
      <c r="M75" s="100">
        <f>'[2]8100'!$H$16</f>
        <v>0</v>
      </c>
      <c r="N75" s="100">
        <f>'[3]8100'!$H$16</f>
        <v>0</v>
      </c>
      <c r="O75" s="100">
        <f>'[4]8100'!$H$16</f>
        <v>0</v>
      </c>
      <c r="P75" s="100">
        <f>'[5]8100'!$H$16</f>
        <v>0</v>
      </c>
      <c r="Q75" s="100">
        <f>'[6]8100'!$H$16</f>
        <v>0</v>
      </c>
      <c r="R75" s="100">
        <f>'[7]8100'!$H$16</f>
        <v>0</v>
      </c>
    </row>
    <row r="76" spans="1:18" s="32" customFormat="1" ht="12.95" customHeight="1" thickBot="1">
      <c r="A76" s="1"/>
      <c r="B76" s="3"/>
      <c r="C76" s="3"/>
      <c r="D76" s="3"/>
      <c r="E76" s="101"/>
      <c r="F76" s="101"/>
      <c r="G76" s="101"/>
      <c r="H76" s="101"/>
      <c r="I76" s="101"/>
      <c r="L76" s="101"/>
      <c r="M76" s="101"/>
      <c r="N76" s="101"/>
      <c r="O76" s="101"/>
      <c r="P76" s="101"/>
      <c r="Q76" s="101"/>
      <c r="R76" s="101"/>
    </row>
    <row r="77" spans="1:18" s="32" customFormat="1" ht="33" customHeight="1">
      <c r="A77" s="246" t="s">
        <v>493</v>
      </c>
      <c r="B77" s="246"/>
      <c r="C77" s="218"/>
      <c r="D77" s="218"/>
      <c r="E77" s="218"/>
      <c r="F77" s="28">
        <f>I1</f>
        <v>2016</v>
      </c>
      <c r="G77" s="101"/>
      <c r="H77" s="101"/>
      <c r="I77" s="101"/>
    </row>
    <row r="78" spans="1:18" s="32" customFormat="1" ht="18" customHeight="1">
      <c r="A78" s="195" t="s">
        <v>498</v>
      </c>
      <c r="B78" s="195"/>
      <c r="C78" s="195"/>
      <c r="D78" s="195"/>
      <c r="E78" s="195"/>
      <c r="F78" s="219" t="str">
        <f>"--"</f>
        <v>--</v>
      </c>
      <c r="G78" s="101"/>
      <c r="H78" s="101"/>
      <c r="I78" s="101"/>
      <c r="L78" s="220" t="str">
        <f>'[1]8100'!$H$30</f>
        <v>Sin información</v>
      </c>
      <c r="M78" s="220" t="str">
        <f>'[2]8100'!$H$30</f>
        <v>Sin información</v>
      </c>
      <c r="N78" s="220" t="str">
        <f>'[3]8100'!$H$30</f>
        <v>Sin información</v>
      </c>
      <c r="O78" s="220" t="str">
        <f>'[4]8100'!$H$30</f>
        <v>Sin información</v>
      </c>
      <c r="P78" s="220" t="str">
        <f>'[5]8100'!$H$30</f>
        <v>Sin información</v>
      </c>
      <c r="Q78" s="220" t="str">
        <f>'[6]8100'!$H$30</f>
        <v>Sin información</v>
      </c>
      <c r="R78" s="220" t="str">
        <f>'[7]8100'!$H$30</f>
        <v>Sin información</v>
      </c>
    </row>
    <row r="79" spans="1:18" s="32" customFormat="1" ht="18" customHeight="1" thickBot="1">
      <c r="A79" s="103" t="s">
        <v>497</v>
      </c>
      <c r="B79" s="106"/>
      <c r="C79" s="106"/>
      <c r="D79" s="106"/>
      <c r="E79" s="106"/>
      <c r="F79" s="221" t="str">
        <f>"--"</f>
        <v>--</v>
      </c>
      <c r="G79" s="101"/>
      <c r="H79" s="101"/>
      <c r="I79" s="101"/>
      <c r="L79" s="220" t="str">
        <f>'[1]8100'!$H$31</f>
        <v>Sin información</v>
      </c>
      <c r="M79" s="220" t="str">
        <f>'[2]8100'!$H$31</f>
        <v>Sin información</v>
      </c>
      <c r="N79" s="220" t="str">
        <f>'[3]8100'!$H$31</f>
        <v>Sin información</v>
      </c>
      <c r="O79" s="220" t="str">
        <f>'[4]8100'!$H$31</f>
        <v>Sin información</v>
      </c>
      <c r="P79" s="220" t="str">
        <f>'[5]8100'!$H$31</f>
        <v>Sin información</v>
      </c>
      <c r="Q79" s="220" t="str">
        <f>'[6]8100'!$H$31</f>
        <v>Sin información</v>
      </c>
      <c r="R79" s="220" t="str">
        <f>'[7]8100'!$H$31</f>
        <v>Sin información</v>
      </c>
    </row>
    <row r="80" spans="1:18" s="32" customFormat="1" ht="18" customHeight="1">
      <c r="A80" s="222"/>
      <c r="B80" s="222"/>
      <c r="C80" s="222"/>
      <c r="D80" s="222"/>
      <c r="E80" s="222"/>
      <c r="F80" s="223"/>
      <c r="G80" s="101"/>
      <c r="H80" s="101"/>
      <c r="I80" s="101"/>
      <c r="L80" s="223"/>
      <c r="M80" s="223"/>
      <c r="N80" s="223"/>
      <c r="O80" s="223"/>
      <c r="P80" s="223"/>
      <c r="Q80" s="223"/>
      <c r="R80" s="223"/>
    </row>
    <row r="81" spans="1:117" s="32" customFormat="1" ht="18" customHeight="1">
      <c r="A81" s="222" t="s">
        <v>499</v>
      </c>
      <c r="B81" s="222"/>
      <c r="C81" s="222"/>
      <c r="D81" s="222"/>
      <c r="E81" s="222"/>
      <c r="F81" s="223"/>
      <c r="G81" s="101"/>
      <c r="H81" s="101"/>
      <c r="I81" s="101"/>
      <c r="L81" s="223"/>
      <c r="M81" s="223"/>
      <c r="N81" s="223"/>
      <c r="O81" s="223"/>
      <c r="P81" s="223"/>
      <c r="Q81" s="223"/>
      <c r="R81" s="223"/>
    </row>
    <row r="82" spans="1:117" s="32" customFormat="1" ht="18" customHeight="1">
      <c r="A82" s="222" t="s">
        <v>496</v>
      </c>
      <c r="B82" s="222"/>
      <c r="C82" s="222"/>
      <c r="D82" s="222"/>
      <c r="E82" s="222"/>
      <c r="F82" s="223"/>
      <c r="G82" s="101"/>
      <c r="H82" s="101"/>
      <c r="I82" s="101"/>
      <c r="L82" s="223"/>
      <c r="M82" s="223"/>
      <c r="N82" s="223"/>
      <c r="O82" s="223"/>
      <c r="P82" s="223"/>
      <c r="Q82" s="223"/>
      <c r="R82" s="223"/>
    </row>
    <row r="83" spans="1:117" s="32" customFormat="1" ht="12.95" customHeight="1">
      <c r="A83" s="217"/>
      <c r="B83" s="3"/>
      <c r="C83" s="3"/>
      <c r="D83" s="3"/>
      <c r="E83" s="101"/>
      <c r="F83" s="101"/>
      <c r="G83" s="101"/>
      <c r="H83" s="101"/>
      <c r="I83" s="101"/>
      <c r="L83" s="101"/>
      <c r="M83" s="101"/>
      <c r="N83" s="101"/>
      <c r="O83" s="101"/>
      <c r="P83" s="101"/>
      <c r="Q83" s="101"/>
      <c r="R83" s="101"/>
    </row>
    <row r="84" spans="1:117" s="2" customFormat="1" ht="21" customHeight="1">
      <c r="A84" s="97" t="s">
        <v>17</v>
      </c>
      <c r="B84" s="128"/>
      <c r="C84" s="98"/>
      <c r="D84" s="98"/>
      <c r="E84" s="98"/>
      <c r="F84" s="98"/>
      <c r="G84" s="98"/>
      <c r="H84" s="99"/>
      <c r="I84" s="99"/>
      <c r="J84" s="98"/>
      <c r="K84" s="99"/>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row>
    <row r="85" spans="1:117" s="147" customFormat="1" ht="12.95" customHeight="1">
      <c r="A85" s="97"/>
      <c r="B85" s="128"/>
      <c r="C85" s="98"/>
      <c r="D85" s="125"/>
      <c r="E85" s="98"/>
      <c r="F85" s="98"/>
      <c r="G85" s="98"/>
      <c r="H85" s="99"/>
      <c r="I85" s="127"/>
      <c r="J85" s="125"/>
      <c r="K85" s="127"/>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row>
    <row r="86" spans="1:117" ht="18" customHeight="1" thickBot="1">
      <c r="A86" s="113"/>
      <c r="B86" s="128"/>
      <c r="C86" s="202">
        <f>I1</f>
        <v>2016</v>
      </c>
      <c r="E86" s="98"/>
      <c r="F86" s="98"/>
      <c r="G86" s="98"/>
      <c r="H86" s="202">
        <f>I1</f>
        <v>2016</v>
      </c>
    </row>
    <row r="87" spans="1:117" ht="33" customHeight="1">
      <c r="A87" s="239" t="s">
        <v>252</v>
      </c>
      <c r="B87" s="239"/>
      <c r="C87" s="239"/>
      <c r="E87" s="239" t="s">
        <v>253</v>
      </c>
      <c r="F87" s="239"/>
      <c r="G87" s="239"/>
      <c r="H87" s="239"/>
    </row>
    <row r="88" spans="1:117" ht="18" customHeight="1">
      <c r="A88" s="32" t="s">
        <v>367</v>
      </c>
      <c r="C88" s="63">
        <f>IF(G22="    --","    --",G22/100)</f>
        <v>0.99813332401045396</v>
      </c>
      <c r="E88" s="31" t="s">
        <v>368</v>
      </c>
      <c r="F88" s="61"/>
      <c r="G88" s="61"/>
      <c r="H88" s="63">
        <f>IF((C53+C54)=0,"    --",H22/(C53+C54))</f>
        <v>1.5452235417538973E-3</v>
      </c>
    </row>
    <row r="89" spans="1:117" ht="18" customHeight="1" thickBot="1">
      <c r="A89" s="67" t="s">
        <v>369</v>
      </c>
      <c r="B89" s="48"/>
      <c r="C89" s="68">
        <f>IF(G37="    --","    --",G37/100)</f>
        <v>0.99865522560276465</v>
      </c>
      <c r="E89" s="67" t="s">
        <v>370</v>
      </c>
      <c r="F89" s="48"/>
      <c r="G89" s="48"/>
      <c r="H89" s="68">
        <f>IF((C46+C47)=0,"    --",I37/(C46+C47))</f>
        <v>1.7539541387798158E-3</v>
      </c>
    </row>
    <row r="90" spans="1:117" ht="12.95" customHeight="1">
      <c r="A90" s="31"/>
      <c r="B90" s="61"/>
      <c r="C90" s="63"/>
      <c r="E90" s="31"/>
      <c r="F90" s="61"/>
      <c r="G90" s="61"/>
      <c r="H90" s="63"/>
    </row>
    <row r="91" spans="1:117" ht="12.95" customHeight="1">
      <c r="E91" s="32"/>
    </row>
    <row r="92" spans="1:117" ht="18" customHeight="1">
      <c r="A92" s="60" t="s">
        <v>482</v>
      </c>
    </row>
    <row r="93" spans="1:117" s="32" customFormat="1" ht="18" customHeight="1">
      <c r="A93" s="31" t="s">
        <v>483</v>
      </c>
      <c r="B93" s="3"/>
      <c r="C93" s="31" t="s">
        <v>459</v>
      </c>
    </row>
    <row r="94" spans="1:117" s="32" customFormat="1" ht="21" hidden="1" customHeight="1">
      <c r="A94" s="97"/>
      <c r="B94" s="229" t="s">
        <v>404</v>
      </c>
      <c r="C94" s="232" t="s">
        <v>387</v>
      </c>
      <c r="D94" s="232" t="s">
        <v>388</v>
      </c>
      <c r="E94" s="249" t="s">
        <v>389</v>
      </c>
      <c r="F94" s="232" t="s">
        <v>390</v>
      </c>
      <c r="G94" s="227" t="s">
        <v>391</v>
      </c>
      <c r="H94" s="3"/>
      <c r="I94" s="3"/>
      <c r="J94" s="3"/>
      <c r="K94" s="3"/>
    </row>
    <row r="95" spans="1:117" s="32" customFormat="1" ht="21" hidden="1" customHeight="1">
      <c r="A95" s="97"/>
      <c r="B95" s="230"/>
      <c r="C95" s="233"/>
      <c r="D95" s="233"/>
      <c r="E95" s="250"/>
      <c r="F95" s="233"/>
      <c r="G95" s="228"/>
      <c r="H95" s="3"/>
      <c r="I95" s="3"/>
      <c r="J95" s="3"/>
      <c r="K95" s="3"/>
    </row>
    <row r="96" spans="1:117" s="32" customFormat="1" ht="21" hidden="1" customHeight="1">
      <c r="A96" s="97"/>
      <c r="B96" s="231"/>
      <c r="C96" s="158" t="s">
        <v>288</v>
      </c>
      <c r="D96" s="158" t="s">
        <v>284</v>
      </c>
      <c r="E96" s="158" t="s">
        <v>285</v>
      </c>
      <c r="F96" s="158" t="s">
        <v>286</v>
      </c>
      <c r="G96" s="158" t="s">
        <v>287</v>
      </c>
      <c r="H96" s="3"/>
      <c r="I96" s="3"/>
      <c r="J96" s="3"/>
      <c r="K96" s="3"/>
    </row>
    <row r="97" spans="1:11" s="32" customFormat="1" ht="21" hidden="1" customHeight="1">
      <c r="A97" s="97"/>
      <c r="B97" s="161" t="s">
        <v>292</v>
      </c>
      <c r="C97" s="119">
        <f>'[1]7100'!D5+'[2]7100'!D5+'[3]7100'!D5+'[4]7100'!D5+'[5]7100'!D5+'[6]7100'!D5+'[7]7100'!D5</f>
        <v>76679.190000000293</v>
      </c>
      <c r="D97" s="119">
        <f>'[1]7100'!E5+'[2]7100'!E5+'[3]7100'!E5+'[4]7100'!E5+'[5]7100'!E5+'[6]7100'!E5+'[7]7100'!E5</f>
        <v>0</v>
      </c>
      <c r="E97" s="119">
        <f>'[1]7100'!F5+'[2]7100'!F5+'[3]7100'!F5+'[4]7100'!F5+'[5]7100'!F5+'[6]7100'!F5+'[7]7100'!F5</f>
        <v>76679.190000000293</v>
      </c>
      <c r="F97" s="119">
        <f>'[1]7100'!G5+'[2]7100'!G5+'[3]7100'!G5+'[4]7100'!G5+'[5]7100'!G5+'[6]7100'!G5+'[7]7100'!G5</f>
        <v>76619.200000000303</v>
      </c>
      <c r="G97" s="119">
        <f>'[1]7100'!H5+'[2]7100'!H5+'[3]7100'!H5+'[4]7100'!H5+'[5]7100'!H5+'[6]7100'!H5+'[7]7100'!H5</f>
        <v>59.99</v>
      </c>
      <c r="H97" s="3"/>
      <c r="I97" s="3"/>
      <c r="J97" s="3"/>
      <c r="K97" s="3"/>
    </row>
    <row r="98" spans="1:11" s="32" customFormat="1" ht="21" hidden="1" customHeight="1">
      <c r="A98" s="97"/>
      <c r="B98" s="163" t="s">
        <v>293</v>
      </c>
      <c r="C98" s="119">
        <f>'[1]7100'!D6+'[2]7100'!D6+'[3]7100'!D6+'[4]7100'!D6+'[5]7100'!D6+'[6]7100'!D6+'[7]7100'!D6</f>
        <v>258663.43999999997</v>
      </c>
      <c r="D98" s="119">
        <f>'[1]7100'!E6+'[2]7100'!E6+'[3]7100'!E6+'[4]7100'!E6+'[5]7100'!E6+'[6]7100'!E6+'[7]7100'!E6</f>
        <v>0</v>
      </c>
      <c r="E98" s="119">
        <f>'[1]7100'!F6+'[2]7100'!F6+'[3]7100'!F6+'[4]7100'!F6+'[5]7100'!F6+'[6]7100'!F6+'[7]7100'!F6</f>
        <v>258663.43999999997</v>
      </c>
      <c r="F98" s="119">
        <f>'[1]7100'!G6+'[2]7100'!G6+'[3]7100'!G6+'[4]7100'!G6+'[5]7100'!G6+'[6]7100'!G6+'[7]7100'!G6</f>
        <v>258741.56999999998</v>
      </c>
      <c r="G98" s="119">
        <f>'[1]7100'!H6+'[2]7100'!H6+'[3]7100'!H6+'[4]7100'!H6+'[5]7100'!H6+'[6]7100'!H6+'[7]7100'!H6</f>
        <v>-78.129999999993743</v>
      </c>
      <c r="H98" s="3"/>
      <c r="I98" s="3"/>
      <c r="J98" s="3"/>
      <c r="K98" s="3"/>
    </row>
    <row r="99" spans="1:11" s="32" customFormat="1" ht="21" hidden="1" customHeight="1">
      <c r="A99" s="97"/>
      <c r="B99" s="163" t="s">
        <v>294</v>
      </c>
      <c r="C99" s="119">
        <f>'[1]7100'!D7+'[2]7100'!D7+'[3]7100'!D7+'[4]7100'!D7+'[5]7100'!D7+'[6]7100'!D7+'[7]7100'!D7</f>
        <v>0</v>
      </c>
      <c r="D99" s="119">
        <f>'[1]7100'!E7+'[2]7100'!E7+'[3]7100'!E7+'[4]7100'!E7+'[5]7100'!E7+'[6]7100'!E7+'[7]7100'!E7</f>
        <v>0</v>
      </c>
      <c r="E99" s="119">
        <f>'[1]7100'!F7+'[2]7100'!F7+'[3]7100'!F7+'[4]7100'!F7+'[5]7100'!F7+'[6]7100'!F7+'[7]7100'!F7</f>
        <v>0</v>
      </c>
      <c r="F99" s="119">
        <f>'[1]7100'!G7+'[2]7100'!G7+'[3]7100'!G7+'[4]7100'!G7+'[5]7100'!G7+'[6]7100'!G7+'[7]7100'!G7</f>
        <v>0</v>
      </c>
      <c r="G99" s="119">
        <f>'[1]7100'!H7+'[2]7100'!H7+'[3]7100'!H7+'[4]7100'!H7+'[5]7100'!H7+'[6]7100'!H7+'[7]7100'!H7</f>
        <v>0</v>
      </c>
      <c r="H99" s="3"/>
      <c r="I99" s="3"/>
      <c r="J99" s="3"/>
      <c r="K99" s="3"/>
    </row>
    <row r="100" spans="1:11" s="32" customFormat="1" ht="21" hidden="1" customHeight="1">
      <c r="A100" s="97"/>
      <c r="B100" s="163" t="s">
        <v>295</v>
      </c>
      <c r="C100" s="119">
        <f>'[1]7100'!D8+'[2]7100'!D8+'[3]7100'!D8+'[4]7100'!D8+'[5]7100'!D8+'[6]7100'!D8+'[7]7100'!D8</f>
        <v>132181.52000000002</v>
      </c>
      <c r="D100" s="119">
        <f>'[1]7100'!E8+'[2]7100'!E8+'[3]7100'!E8+'[4]7100'!E8+'[5]7100'!E8+'[6]7100'!E8+'[7]7100'!E8</f>
        <v>0</v>
      </c>
      <c r="E100" s="119">
        <f>'[1]7100'!F8+'[2]7100'!F8+'[3]7100'!F8+'[4]7100'!F8+'[5]7100'!F8+'[6]7100'!F8+'[7]7100'!F8</f>
        <v>132181.52000000002</v>
      </c>
      <c r="F100" s="119">
        <f>'[1]7100'!G8+'[2]7100'!G8+'[3]7100'!G8+'[4]7100'!G8+'[5]7100'!G8+'[6]7100'!G8+'[7]7100'!G8</f>
        <v>131256.76</v>
      </c>
      <c r="G100" s="119">
        <f>'[1]7100'!H8+'[2]7100'!H8+'[3]7100'!H8+'[4]7100'!H8+'[5]7100'!H8+'[6]7100'!H8+'[7]7100'!H8</f>
        <v>924.76000000000931</v>
      </c>
      <c r="H100" s="3"/>
      <c r="I100" s="3"/>
      <c r="J100" s="3"/>
      <c r="K100" s="3"/>
    </row>
    <row r="101" spans="1:11" s="32" customFormat="1" ht="21" hidden="1" customHeight="1">
      <c r="A101" s="97"/>
      <c r="B101" s="163" t="s">
        <v>296</v>
      </c>
      <c r="C101" s="119">
        <f>'[1]7100'!D9+'[2]7100'!D9+'[3]7100'!D9+'[4]7100'!D9+'[5]7100'!D9+'[6]7100'!D9+'[7]7100'!D9</f>
        <v>12815.659999999998</v>
      </c>
      <c r="D101" s="119">
        <f>'[1]7100'!E9+'[2]7100'!E9+'[3]7100'!E9+'[4]7100'!E9+'[5]7100'!E9+'[6]7100'!E9+'[7]7100'!E9</f>
        <v>0</v>
      </c>
      <c r="E101" s="119">
        <f>'[1]7100'!F9+'[2]7100'!F9+'[3]7100'!F9+'[4]7100'!F9+'[5]7100'!F9+'[6]7100'!F9+'[7]7100'!F9</f>
        <v>12815.659999999998</v>
      </c>
      <c r="F101" s="119">
        <f>'[1]7100'!G9+'[2]7100'!G9+'[3]7100'!G9+'[4]7100'!G9+'[5]7100'!G9+'[6]7100'!G9+'[7]7100'!G9</f>
        <v>12815.659999999998</v>
      </c>
      <c r="G101" s="119">
        <f>'[1]7100'!H9+'[2]7100'!H9+'[3]7100'!H9+'[4]7100'!H9+'[5]7100'!H9+'[6]7100'!H9+'[7]7100'!H9</f>
        <v>0</v>
      </c>
      <c r="H101" s="3"/>
      <c r="I101" s="3"/>
      <c r="J101" s="3"/>
      <c r="K101" s="3"/>
    </row>
    <row r="102" spans="1:11" s="32" customFormat="1" ht="21" hidden="1" customHeight="1">
      <c r="A102" s="97"/>
      <c r="B102" s="163" t="s">
        <v>297</v>
      </c>
      <c r="C102" s="119">
        <f>'[1]7100'!D10+'[2]7100'!D10+'[3]7100'!D10+'[4]7100'!D10+'[5]7100'!D10+'[6]7100'!D10+'[7]7100'!D10</f>
        <v>5347.0500000000029</v>
      </c>
      <c r="D102" s="119">
        <f>'[1]7100'!E10+'[2]7100'!E10+'[3]7100'!E10+'[4]7100'!E10+'[5]7100'!E10+'[6]7100'!E10+'[7]7100'!E10</f>
        <v>0</v>
      </c>
      <c r="E102" s="119">
        <f>'[1]7100'!F10+'[2]7100'!F10+'[3]7100'!F10+'[4]7100'!F10+'[5]7100'!F10+'[6]7100'!F10+'[7]7100'!F10</f>
        <v>5347.0500000000029</v>
      </c>
      <c r="F102" s="119">
        <f>'[1]7100'!G10+'[2]7100'!G10+'[3]7100'!G10+'[4]7100'!G10+'[5]7100'!G10+'[6]7100'!G10+'[7]7100'!G10</f>
        <v>5347.0500000000029</v>
      </c>
      <c r="G102" s="119">
        <f>'[1]7100'!H10+'[2]7100'!H10+'[3]7100'!H10+'[4]7100'!H10+'[5]7100'!H10+'[6]7100'!H10+'[7]7100'!H10</f>
        <v>0</v>
      </c>
      <c r="H102" s="3"/>
      <c r="I102" s="3"/>
      <c r="J102" s="3"/>
      <c r="K102" s="3"/>
    </row>
    <row r="103" spans="1:11" s="32" customFormat="1" ht="21" hidden="1" customHeight="1">
      <c r="A103" s="97"/>
      <c r="B103" s="163" t="s">
        <v>298</v>
      </c>
      <c r="C103" s="119">
        <f>'[1]7100'!D11+'[2]7100'!D11+'[3]7100'!D11+'[4]7100'!D11+'[5]7100'!D11+'[6]7100'!D11+'[7]7100'!D11</f>
        <v>0</v>
      </c>
      <c r="D103" s="119">
        <f>'[1]7100'!E11+'[2]7100'!E11+'[3]7100'!E11+'[4]7100'!E11+'[5]7100'!E11+'[6]7100'!E11+'[7]7100'!E11</f>
        <v>0</v>
      </c>
      <c r="E103" s="119">
        <f>'[1]7100'!F11+'[2]7100'!F11+'[3]7100'!F11+'[4]7100'!F11+'[5]7100'!F11+'[6]7100'!F11+'[7]7100'!F11</f>
        <v>0</v>
      </c>
      <c r="F103" s="119">
        <f>'[1]7100'!G11+'[2]7100'!G11+'[3]7100'!G11+'[4]7100'!G11+'[5]7100'!G11+'[6]7100'!G11+'[7]7100'!G11</f>
        <v>0</v>
      </c>
      <c r="G103" s="119">
        <f>'[1]7100'!H11+'[2]7100'!H11+'[3]7100'!H11+'[4]7100'!H11+'[5]7100'!H11+'[6]7100'!H11+'[7]7100'!H11</f>
        <v>0</v>
      </c>
      <c r="H103" s="3"/>
      <c r="I103" s="3"/>
      <c r="J103" s="3"/>
      <c r="K103" s="3"/>
    </row>
    <row r="104" spans="1:11" s="32" customFormat="1" ht="21" hidden="1" customHeight="1">
      <c r="A104" s="97"/>
      <c r="B104" s="163" t="s">
        <v>299</v>
      </c>
      <c r="C104" s="119">
        <f>'[1]7100'!D12+'[2]7100'!D12+'[3]7100'!D12+'[4]7100'!D12+'[5]7100'!D12+'[6]7100'!D12+'[7]7100'!D12</f>
        <v>0</v>
      </c>
      <c r="D104" s="119">
        <f>'[1]7100'!E12+'[2]7100'!E12+'[3]7100'!E12+'[4]7100'!E12+'[5]7100'!E12+'[6]7100'!E12+'[7]7100'!E12</f>
        <v>0</v>
      </c>
      <c r="E104" s="119">
        <f>'[1]7100'!F12+'[2]7100'!F12+'[3]7100'!F12+'[4]7100'!F12+'[5]7100'!F12+'[6]7100'!F12+'[7]7100'!F12</f>
        <v>0</v>
      </c>
      <c r="F104" s="119">
        <f>'[1]7100'!G12+'[2]7100'!G12+'[3]7100'!G12+'[4]7100'!G12+'[5]7100'!G12+'[6]7100'!G12+'[7]7100'!G12</f>
        <v>0</v>
      </c>
      <c r="G104" s="119">
        <f>'[1]7100'!H12+'[2]7100'!H12+'[3]7100'!H12+'[4]7100'!H12+'[5]7100'!H12+'[6]7100'!H12+'[7]7100'!H12</f>
        <v>0</v>
      </c>
      <c r="H104" s="3"/>
      <c r="I104" s="3"/>
      <c r="J104" s="3"/>
      <c r="K104" s="3"/>
    </row>
    <row r="105" spans="1:11" s="32" customFormat="1" ht="21" hidden="1" customHeight="1" thickBot="1">
      <c r="A105" s="97"/>
      <c r="B105" s="164" t="s">
        <v>392</v>
      </c>
      <c r="C105" s="165">
        <f>SUM(C97:C104)</f>
        <v>485686.86000000022</v>
      </c>
      <c r="D105" s="165">
        <f>SUM(D97:D104)</f>
        <v>0</v>
      </c>
      <c r="E105" s="165">
        <f>SUM(E97:E104)</f>
        <v>485686.86000000022</v>
      </c>
      <c r="F105" s="165">
        <f>SUM(F97:F104)</f>
        <v>484780.24000000022</v>
      </c>
      <c r="G105" s="166">
        <f>SUM(G97:G104)</f>
        <v>906.62000000001558</v>
      </c>
      <c r="H105" s="3"/>
      <c r="I105" s="3"/>
      <c r="J105" s="3"/>
      <c r="K105" s="3"/>
    </row>
    <row r="106" spans="1:11" s="32" customFormat="1" ht="21" hidden="1" customHeight="1">
      <c r="A106" s="97"/>
      <c r="B106" s="3"/>
      <c r="C106" s="3"/>
      <c r="D106" s="3"/>
      <c r="E106" s="3"/>
      <c r="F106" s="3"/>
      <c r="G106" s="3"/>
      <c r="H106" s="3"/>
      <c r="I106" s="3"/>
      <c r="J106" s="3"/>
      <c r="K106" s="3"/>
    </row>
    <row r="107" spans="1:11" s="32" customFormat="1" ht="21" hidden="1" customHeight="1" thickBot="1">
      <c r="A107" s="97"/>
      <c r="B107" s="3"/>
      <c r="C107" s="3"/>
      <c r="D107" s="3"/>
      <c r="E107" s="3"/>
      <c r="F107" s="3"/>
      <c r="G107" s="3"/>
      <c r="H107" s="3"/>
      <c r="I107" s="3"/>
      <c r="J107" s="3"/>
      <c r="K107" s="3"/>
    </row>
    <row r="108" spans="1:11" s="32" customFormat="1" ht="21" hidden="1" customHeight="1">
      <c r="A108" s="97"/>
      <c r="B108" s="229" t="s">
        <v>405</v>
      </c>
      <c r="C108" s="232" t="s">
        <v>393</v>
      </c>
      <c r="D108" s="232" t="s">
        <v>394</v>
      </c>
      <c r="E108" s="249" t="s">
        <v>395</v>
      </c>
      <c r="F108" s="249" t="s">
        <v>396</v>
      </c>
      <c r="G108" s="232" t="s">
        <v>397</v>
      </c>
      <c r="H108" s="232" t="s">
        <v>398</v>
      </c>
      <c r="I108" s="232" t="s">
        <v>399</v>
      </c>
      <c r="J108" s="232" t="s">
        <v>400</v>
      </c>
      <c r="K108" s="227" t="s">
        <v>401</v>
      </c>
    </row>
    <row r="109" spans="1:11" s="32" customFormat="1" ht="21" hidden="1" customHeight="1">
      <c r="A109" s="97"/>
      <c r="B109" s="230"/>
      <c r="C109" s="233"/>
      <c r="D109" s="233"/>
      <c r="E109" s="250"/>
      <c r="F109" s="250"/>
      <c r="G109" s="233"/>
      <c r="H109" s="233"/>
      <c r="I109" s="233"/>
      <c r="J109" s="233"/>
      <c r="K109" s="228"/>
    </row>
    <row r="110" spans="1:11" s="32" customFormat="1" ht="21" hidden="1" customHeight="1">
      <c r="A110" s="97"/>
      <c r="B110" s="231"/>
      <c r="C110" s="158" t="s">
        <v>288</v>
      </c>
      <c r="D110" s="158" t="s">
        <v>284</v>
      </c>
      <c r="E110" s="158" t="s">
        <v>285</v>
      </c>
      <c r="F110" s="158" t="s">
        <v>286</v>
      </c>
      <c r="G110" s="158" t="s">
        <v>287</v>
      </c>
      <c r="H110" s="158" t="s">
        <v>289</v>
      </c>
      <c r="I110" s="158" t="s">
        <v>290</v>
      </c>
      <c r="J110" s="158" t="s">
        <v>291</v>
      </c>
      <c r="K110" s="158" t="s">
        <v>402</v>
      </c>
    </row>
    <row r="111" spans="1:11" s="32" customFormat="1" ht="21" hidden="1" customHeight="1">
      <c r="A111" s="97"/>
      <c r="B111" s="161" t="s">
        <v>306</v>
      </c>
      <c r="C111" s="119">
        <f>'[1]7100'!D19+'[2]7100'!D19+'[3]7100'!D19+'[4]7100'!D19+'[5]7100'!D19+'[6]7100'!D19+'[7]7100'!D19</f>
        <v>0</v>
      </c>
      <c r="D111" s="119">
        <f>'[1]7100'!E19+'[2]7100'!E19+'[3]7100'!E19+'[4]7100'!E19+'[5]7100'!E19+'[6]7100'!E19+'[7]7100'!E19</f>
        <v>0</v>
      </c>
      <c r="E111" s="119">
        <f>'[1]7100'!F19+'[2]7100'!F19+'[3]7100'!F19+'[4]7100'!F19+'[5]7100'!F19+'[6]7100'!F19+'[7]7100'!F19</f>
        <v>0</v>
      </c>
      <c r="F111" s="119">
        <f>'[1]7100'!G19+'[2]7100'!G19+'[3]7100'!G19+'[4]7100'!G19+'[5]7100'!G19+'[6]7100'!G19+'[7]7100'!G19</f>
        <v>0</v>
      </c>
      <c r="G111" s="119">
        <f>'[1]7100'!H19+'[2]7100'!H19+'[3]7100'!H19+'[4]7100'!H19+'[5]7100'!H19+'[6]7100'!H19+'[7]7100'!H19</f>
        <v>0</v>
      </c>
      <c r="H111" s="119">
        <f>'[1]7100'!I19+'[2]7100'!I19+'[3]7100'!I19+'[4]7100'!I19+'[5]7100'!I19+'[6]7100'!I19+'[7]7100'!I19</f>
        <v>0</v>
      </c>
      <c r="I111" s="119">
        <f>'[1]7100'!J19+'[2]7100'!J19+'[3]7100'!J19+'[4]7100'!J19+'[5]7100'!J19+'[6]7100'!J19+'[7]7100'!J19</f>
        <v>0</v>
      </c>
      <c r="J111" s="119">
        <f>'[1]7100'!K19+'[2]7100'!K19+'[3]7100'!K19+'[4]7100'!K19+'[5]7100'!K19+'[6]7100'!K19+'[7]7100'!K19</f>
        <v>0</v>
      </c>
      <c r="K111" s="119">
        <f>'[1]7100'!L19+'[2]7100'!L19+'[3]7100'!L19+'[4]7100'!L19+'[5]7100'!L19+'[6]7100'!L19+'[7]7100'!L19</f>
        <v>0</v>
      </c>
    </row>
    <row r="112" spans="1:11" s="32" customFormat="1" ht="21" hidden="1" customHeight="1">
      <c r="A112" s="97"/>
      <c r="B112" s="163" t="s">
        <v>307</v>
      </c>
      <c r="C112" s="119">
        <f>'[1]7100'!D20+'[2]7100'!D20+'[3]7100'!D20+'[4]7100'!D20+'[5]7100'!D20+'[6]7100'!D20+'[7]7100'!D20</f>
        <v>0</v>
      </c>
      <c r="D112" s="119">
        <f>'[1]7100'!E20+'[2]7100'!E20+'[3]7100'!E20+'[4]7100'!E20+'[5]7100'!E20+'[6]7100'!E20+'[7]7100'!E20</f>
        <v>0</v>
      </c>
      <c r="E112" s="119">
        <f>'[1]7100'!F20+'[2]7100'!F20+'[3]7100'!F20+'[4]7100'!F20+'[5]7100'!F20+'[6]7100'!F20+'[7]7100'!F20</f>
        <v>0</v>
      </c>
      <c r="F112" s="119">
        <f>'[1]7100'!G20+'[2]7100'!G20+'[3]7100'!G20+'[4]7100'!G20+'[5]7100'!G20+'[6]7100'!G20+'[7]7100'!G20</f>
        <v>0</v>
      </c>
      <c r="G112" s="119">
        <f>'[1]7100'!H20+'[2]7100'!H20+'[3]7100'!H20+'[4]7100'!H20+'[5]7100'!H20+'[6]7100'!H20+'[7]7100'!H20</f>
        <v>0</v>
      </c>
      <c r="H112" s="119">
        <f>'[1]7100'!I20+'[2]7100'!I20+'[3]7100'!I20+'[4]7100'!I20+'[5]7100'!I20+'[6]7100'!I20+'[7]7100'!I20</f>
        <v>0</v>
      </c>
      <c r="I112" s="119">
        <f>'[1]7100'!J20+'[2]7100'!J20+'[3]7100'!J20+'[4]7100'!J20+'[5]7100'!J20+'[6]7100'!J20+'[7]7100'!J20</f>
        <v>0</v>
      </c>
      <c r="J112" s="119">
        <f>'[1]7100'!K20+'[2]7100'!K20+'[3]7100'!K20+'[4]7100'!K20+'[5]7100'!K20+'[6]7100'!K20+'[7]7100'!K20</f>
        <v>0</v>
      </c>
      <c r="K112" s="119">
        <f>'[1]7100'!L20+'[2]7100'!L20+'[3]7100'!L20+'[4]7100'!L20+'[5]7100'!L20+'[6]7100'!L20+'[7]7100'!L20</f>
        <v>0</v>
      </c>
    </row>
    <row r="113" spans="1:18" s="32" customFormat="1" ht="21" hidden="1" customHeight="1">
      <c r="A113" s="97"/>
      <c r="B113" s="163" t="s">
        <v>308</v>
      </c>
      <c r="C113" s="119">
        <f>'[1]7100'!D21+'[2]7100'!D21+'[3]7100'!D21+'[4]7100'!D21+'[5]7100'!D21+'[6]7100'!D21+'[7]7100'!D21</f>
        <v>792858.39999999944</v>
      </c>
      <c r="D113" s="119">
        <f>'[1]7100'!E21+'[2]7100'!E21+'[3]7100'!E21+'[4]7100'!E21+'[5]7100'!E21+'[6]7100'!E21+'[7]7100'!E21</f>
        <v>-28892.61</v>
      </c>
      <c r="E113" s="119">
        <f>'[1]7100'!F21+'[2]7100'!F21+'[3]7100'!F21+'[4]7100'!F21+'[5]7100'!F21+'[6]7100'!F21+'[7]7100'!F21</f>
        <v>0</v>
      </c>
      <c r="F113" s="119">
        <f>'[1]7100'!G21+'[2]7100'!G21+'[3]7100'!G21+'[4]7100'!G21+'[5]7100'!G21+'[6]7100'!G21+'[7]7100'!G21</f>
        <v>0</v>
      </c>
      <c r="G113" s="119">
        <f>'[1]7100'!H21+'[2]7100'!H21+'[3]7100'!H21+'[4]7100'!H21+'[5]7100'!H21+'[6]7100'!H21+'[7]7100'!H21</f>
        <v>763965.78999999946</v>
      </c>
      <c r="H113" s="119">
        <f>'[1]7100'!I21+'[2]7100'!I21+'[3]7100'!I21+'[4]7100'!I21+'[5]7100'!I21+'[6]7100'!I21+'[7]7100'!I21</f>
        <v>759389.94</v>
      </c>
      <c r="I113" s="119">
        <f>'[1]7100'!J21+'[2]7100'!J21+'[3]7100'!J21+'[4]7100'!J21+'[5]7100'!J21+'[6]7100'!J21+'[7]7100'!J21</f>
        <v>0</v>
      </c>
      <c r="J113" s="119">
        <f>'[1]7100'!K21+'[2]7100'!K21+'[3]7100'!K21+'[4]7100'!K21+'[5]7100'!K21+'[6]7100'!K21+'[7]7100'!K21</f>
        <v>0</v>
      </c>
      <c r="K113" s="119">
        <f>'[1]7100'!L21+'[2]7100'!L21+'[3]7100'!L21+'[4]7100'!L21+'[5]7100'!L21+'[6]7100'!L21+'[7]7100'!L21</f>
        <v>4575.8499999995338</v>
      </c>
    </row>
    <row r="114" spans="1:18" s="32" customFormat="1" ht="21" hidden="1" customHeight="1">
      <c r="A114" s="97"/>
      <c r="B114" s="163" t="s">
        <v>295</v>
      </c>
      <c r="C114" s="119">
        <f>'[1]7100'!D22+'[2]7100'!D22+'[3]7100'!D22+'[4]7100'!D22+'[5]7100'!D22+'[6]7100'!D22+'[7]7100'!D22</f>
        <v>12048249.029999999</v>
      </c>
      <c r="D114" s="119">
        <f>'[1]7100'!E22+'[2]7100'!E22+'[3]7100'!E22+'[4]7100'!E22+'[5]7100'!E22+'[6]7100'!E22+'[7]7100'!E22</f>
        <v>-2847334.5700000003</v>
      </c>
      <c r="E114" s="119">
        <f>'[1]7100'!F22+'[2]7100'!F22+'[3]7100'!F22+'[4]7100'!F22+'[5]7100'!F22+'[6]7100'!F22+'[7]7100'!F22</f>
        <v>16210.62</v>
      </c>
      <c r="F114" s="119">
        <f>'[1]7100'!G22+'[2]7100'!G22+'[3]7100'!G22+'[4]7100'!G22+'[5]7100'!G22+'[6]7100'!G22+'[7]7100'!G22</f>
        <v>0</v>
      </c>
      <c r="G114" s="119">
        <f>'[1]7100'!H22+'[2]7100'!H22+'[3]7100'!H22+'[4]7100'!H22+'[5]7100'!H22+'[6]7100'!H22+'[7]7100'!H22</f>
        <v>9184703.8399999999</v>
      </c>
      <c r="H114" s="119">
        <f>'[1]7100'!I22+'[2]7100'!I22+'[3]7100'!I22+'[4]7100'!I22+'[5]7100'!I22+'[6]7100'!I22+'[7]7100'!I22</f>
        <v>9177527.0199999996</v>
      </c>
      <c r="I114" s="119">
        <f>'[1]7100'!J22+'[2]7100'!J22+'[3]7100'!J22+'[4]7100'!J22+'[5]7100'!J22+'[6]7100'!J22+'[7]7100'!J22</f>
        <v>0</v>
      </c>
      <c r="J114" s="119">
        <f>'[1]7100'!K22+'[2]7100'!K22+'[3]7100'!K22+'[4]7100'!K22+'[5]7100'!K22+'[6]7100'!K22+'[7]7100'!K22</f>
        <v>0</v>
      </c>
      <c r="K114" s="119">
        <f>'[1]7100'!L22+'[2]7100'!L22+'[3]7100'!L22+'[4]7100'!L22+'[5]7100'!L22+'[6]7100'!L22+'[7]7100'!L22</f>
        <v>7176.8199999998105</v>
      </c>
    </row>
    <row r="115" spans="1:18" s="32" customFormat="1" ht="21" hidden="1" customHeight="1">
      <c r="A115" s="97"/>
      <c r="B115" s="163" t="s">
        <v>309</v>
      </c>
      <c r="C115" s="119">
        <f>'[1]7100'!D23+'[2]7100'!D23+'[3]7100'!D23+'[4]7100'!D23+'[5]7100'!D23+'[6]7100'!D23+'[7]7100'!D23</f>
        <v>4302.7199999999975</v>
      </c>
      <c r="D115" s="119">
        <f>'[1]7100'!E23+'[2]7100'!E23+'[3]7100'!E23+'[4]7100'!E23+'[5]7100'!E23+'[6]7100'!E23+'[7]7100'!E23</f>
        <v>0</v>
      </c>
      <c r="E115" s="119">
        <f>'[1]7100'!F23+'[2]7100'!F23+'[3]7100'!F23+'[4]7100'!F23+'[5]7100'!F23+'[6]7100'!F23+'[7]7100'!F23</f>
        <v>0</v>
      </c>
      <c r="F115" s="119">
        <f>'[1]7100'!G23+'[2]7100'!G23+'[3]7100'!G23+'[4]7100'!G23+'[5]7100'!G23+'[6]7100'!G23+'[7]7100'!G23</f>
        <v>0</v>
      </c>
      <c r="G115" s="119">
        <f>'[1]7100'!H23+'[2]7100'!H23+'[3]7100'!H23+'[4]7100'!H23+'[5]7100'!H23+'[6]7100'!H23+'[7]7100'!H23</f>
        <v>4302.7199999999975</v>
      </c>
      <c r="H115" s="119">
        <f>'[1]7100'!I23+'[2]7100'!I23+'[3]7100'!I23+'[4]7100'!I23+'[5]7100'!I23+'[6]7100'!I23+'[7]7100'!I23</f>
        <v>2151.36</v>
      </c>
      <c r="I115" s="119">
        <f>'[1]7100'!J23+'[2]7100'!J23+'[3]7100'!J23+'[4]7100'!J23+'[5]7100'!J23+'[6]7100'!J23+'[7]7100'!J23</f>
        <v>0</v>
      </c>
      <c r="J115" s="119">
        <f>'[1]7100'!K23+'[2]7100'!K23+'[3]7100'!K23+'[4]7100'!K23+'[5]7100'!K23+'[6]7100'!K23+'[7]7100'!K23</f>
        <v>0</v>
      </c>
      <c r="K115" s="119">
        <f>'[1]7100'!L23+'[2]7100'!L23+'[3]7100'!L23+'[4]7100'!L23+'[5]7100'!L23+'[6]7100'!L23+'[7]7100'!L23</f>
        <v>2151.3599999999974</v>
      </c>
    </row>
    <row r="116" spans="1:18" s="32" customFormat="1" ht="21" hidden="1" customHeight="1">
      <c r="A116" s="97"/>
      <c r="B116" s="163" t="s">
        <v>310</v>
      </c>
      <c r="C116" s="119">
        <f>'[1]7100'!D24+'[2]7100'!D24+'[3]7100'!D24+'[4]7100'!D24+'[5]7100'!D24+'[6]7100'!D24+'[7]7100'!D24</f>
        <v>0</v>
      </c>
      <c r="D116" s="119">
        <f>'[1]7100'!E24+'[2]7100'!E24+'[3]7100'!E24+'[4]7100'!E24+'[5]7100'!E24+'[6]7100'!E24+'[7]7100'!E24</f>
        <v>0</v>
      </c>
      <c r="E116" s="119">
        <f>'[1]7100'!F24+'[2]7100'!F24+'[3]7100'!F24+'[4]7100'!F24+'[5]7100'!F24+'[6]7100'!F24+'[7]7100'!F24</f>
        <v>0</v>
      </c>
      <c r="F116" s="119">
        <f>'[1]7100'!G24+'[2]7100'!G24+'[3]7100'!G24+'[4]7100'!G24+'[5]7100'!G24+'[6]7100'!G24+'[7]7100'!G24</f>
        <v>0</v>
      </c>
      <c r="G116" s="119">
        <f>'[1]7100'!H24+'[2]7100'!H24+'[3]7100'!H24+'[4]7100'!H24+'[5]7100'!H24+'[6]7100'!H24+'[7]7100'!H24</f>
        <v>0</v>
      </c>
      <c r="H116" s="119">
        <f>'[1]7100'!I24+'[2]7100'!I24+'[3]7100'!I24+'[4]7100'!I24+'[5]7100'!I24+'[6]7100'!I24+'[7]7100'!I24</f>
        <v>0</v>
      </c>
      <c r="I116" s="119">
        <f>'[1]7100'!J24+'[2]7100'!J24+'[3]7100'!J24+'[4]7100'!J24+'[5]7100'!J24+'[6]7100'!J24+'[7]7100'!J24</f>
        <v>0</v>
      </c>
      <c r="J116" s="119">
        <f>'[1]7100'!K24+'[2]7100'!K24+'[3]7100'!K24+'[4]7100'!K24+'[5]7100'!K24+'[6]7100'!K24+'[7]7100'!K24</f>
        <v>0</v>
      </c>
      <c r="K116" s="119">
        <f>'[1]7100'!L24+'[2]7100'!L24+'[3]7100'!L24+'[4]7100'!L24+'[5]7100'!L24+'[6]7100'!L24+'[7]7100'!L24</f>
        <v>0</v>
      </c>
    </row>
    <row r="117" spans="1:18" s="32" customFormat="1" ht="21" hidden="1" customHeight="1">
      <c r="A117" s="97"/>
      <c r="B117" s="163" t="s">
        <v>297</v>
      </c>
      <c r="C117" s="119">
        <f>'[1]7100'!D25+'[2]7100'!D25+'[3]7100'!D25+'[4]7100'!D25+'[5]7100'!D25+'[6]7100'!D25+'[7]7100'!D25</f>
        <v>386331.67000000004</v>
      </c>
      <c r="D117" s="119">
        <f>'[1]7100'!E25+'[2]7100'!E25+'[3]7100'!E25+'[4]7100'!E25+'[5]7100'!E25+'[6]7100'!E25+'[7]7100'!E25</f>
        <v>-0.99</v>
      </c>
      <c r="E117" s="119">
        <f>'[1]7100'!F25+'[2]7100'!F25+'[3]7100'!F25+'[4]7100'!F25+'[5]7100'!F25+'[6]7100'!F25+'[7]7100'!F25</f>
        <v>0</v>
      </c>
      <c r="F117" s="119">
        <f>'[1]7100'!G25+'[2]7100'!G25+'[3]7100'!G25+'[4]7100'!G25+'[5]7100'!G25+'[6]7100'!G25+'[7]7100'!G25</f>
        <v>0</v>
      </c>
      <c r="G117" s="119">
        <f>'[1]7100'!H25+'[2]7100'!H25+'[3]7100'!H25+'[4]7100'!H25+'[5]7100'!H25+'[6]7100'!H25+'[7]7100'!H25</f>
        <v>386330.68000000005</v>
      </c>
      <c r="H117" s="119">
        <f>'[1]7100'!I25+'[2]7100'!I25+'[3]7100'!I25+'[4]7100'!I25+'[5]7100'!I25+'[6]7100'!I25+'[7]7100'!I25</f>
        <v>386330.68000000005</v>
      </c>
      <c r="I117" s="119">
        <f>'[1]7100'!J25+'[2]7100'!J25+'[3]7100'!J25+'[4]7100'!J25+'[5]7100'!J25+'[6]7100'!J25+'[7]7100'!J25</f>
        <v>0</v>
      </c>
      <c r="J117" s="119">
        <f>'[1]7100'!K25+'[2]7100'!K25+'[3]7100'!K25+'[4]7100'!K25+'[5]7100'!K25+'[6]7100'!K25+'[7]7100'!K25</f>
        <v>0</v>
      </c>
      <c r="K117" s="119">
        <f>'[1]7100'!L25+'[2]7100'!L25+'[3]7100'!L25+'[4]7100'!L25+'[5]7100'!L25+'[6]7100'!L25+'[7]7100'!L25</f>
        <v>0</v>
      </c>
    </row>
    <row r="118" spans="1:18" s="32" customFormat="1" ht="21" hidden="1" customHeight="1">
      <c r="A118" s="97"/>
      <c r="B118" s="163" t="s">
        <v>298</v>
      </c>
      <c r="C118" s="119">
        <f>'[1]7100'!D26+'[2]7100'!D26+'[3]7100'!D26+'[4]7100'!D26+'[5]7100'!D26+'[6]7100'!D26+'[7]7100'!D26</f>
        <v>0</v>
      </c>
      <c r="D118" s="119">
        <f>'[1]7100'!E26+'[2]7100'!E26+'[3]7100'!E26+'[4]7100'!E26+'[5]7100'!E26+'[6]7100'!E26+'[7]7100'!E26</f>
        <v>0</v>
      </c>
      <c r="E118" s="119">
        <f>'[1]7100'!F26+'[2]7100'!F26+'[3]7100'!F26+'[4]7100'!F26+'[5]7100'!F26+'[6]7100'!F26+'[7]7100'!F26</f>
        <v>0</v>
      </c>
      <c r="F118" s="119">
        <f>'[1]7100'!G26+'[2]7100'!G26+'[3]7100'!G26+'[4]7100'!G26+'[5]7100'!G26+'[6]7100'!G26+'[7]7100'!G26</f>
        <v>0</v>
      </c>
      <c r="G118" s="119">
        <f>'[1]7100'!H26+'[2]7100'!H26+'[3]7100'!H26+'[4]7100'!H26+'[5]7100'!H26+'[6]7100'!H26+'[7]7100'!H26</f>
        <v>0</v>
      </c>
      <c r="H118" s="119">
        <f>'[1]7100'!I26+'[2]7100'!I26+'[3]7100'!I26+'[4]7100'!I26+'[5]7100'!I26+'[6]7100'!I26+'[7]7100'!I26</f>
        <v>0</v>
      </c>
      <c r="I118" s="119">
        <f>'[1]7100'!J26+'[2]7100'!J26+'[3]7100'!J26+'[4]7100'!J26+'[5]7100'!J26+'[6]7100'!J26+'[7]7100'!J26</f>
        <v>0</v>
      </c>
      <c r="J118" s="119">
        <f>'[1]7100'!K26+'[2]7100'!K26+'[3]7100'!K26+'[4]7100'!K26+'[5]7100'!K26+'[6]7100'!K26+'[7]7100'!K26</f>
        <v>0</v>
      </c>
      <c r="K118" s="119">
        <f>'[1]7100'!L26+'[2]7100'!L26+'[3]7100'!L26+'[4]7100'!L26+'[5]7100'!L26+'[6]7100'!L26+'[7]7100'!L26</f>
        <v>0</v>
      </c>
    </row>
    <row r="119" spans="1:18" s="32" customFormat="1" ht="21" hidden="1" customHeight="1">
      <c r="A119" s="97"/>
      <c r="B119" s="167" t="s">
        <v>299</v>
      </c>
      <c r="C119" s="119">
        <f>'[1]7100'!D27+'[2]7100'!D27+'[3]7100'!D27+'[4]7100'!D27+'[5]7100'!D27+'[6]7100'!D27+'[7]7100'!D27</f>
        <v>0</v>
      </c>
      <c r="D119" s="119">
        <f>'[1]7100'!E27+'[2]7100'!E27+'[3]7100'!E27+'[4]7100'!E27+'[5]7100'!E27+'[6]7100'!E27+'[7]7100'!E27</f>
        <v>0</v>
      </c>
      <c r="E119" s="119">
        <f>'[1]7100'!F27+'[2]7100'!F27+'[3]7100'!F27+'[4]7100'!F27+'[5]7100'!F27+'[6]7100'!F27+'[7]7100'!F27</f>
        <v>0</v>
      </c>
      <c r="F119" s="119">
        <f>'[1]7100'!G27+'[2]7100'!G27+'[3]7100'!G27+'[4]7100'!G27+'[5]7100'!G27+'[6]7100'!G27+'[7]7100'!G27</f>
        <v>0</v>
      </c>
      <c r="G119" s="119">
        <f>'[1]7100'!H27+'[2]7100'!H27+'[3]7100'!H27+'[4]7100'!H27+'[5]7100'!H27+'[6]7100'!H27+'[7]7100'!H27</f>
        <v>0</v>
      </c>
      <c r="H119" s="119">
        <f>'[1]7100'!I27+'[2]7100'!I27+'[3]7100'!I27+'[4]7100'!I27+'[5]7100'!I27+'[6]7100'!I27+'[7]7100'!I27</f>
        <v>0</v>
      </c>
      <c r="I119" s="119">
        <f>'[1]7100'!J27+'[2]7100'!J27+'[3]7100'!J27+'[4]7100'!J27+'[5]7100'!J27+'[6]7100'!J27+'[7]7100'!J27</f>
        <v>0</v>
      </c>
      <c r="J119" s="119">
        <f>'[1]7100'!K27+'[2]7100'!K27+'[3]7100'!K27+'[4]7100'!K27+'[5]7100'!K27+'[6]7100'!K27+'[7]7100'!K27</f>
        <v>0</v>
      </c>
      <c r="K119" s="119">
        <f>'[1]7100'!L27+'[2]7100'!L27+'[3]7100'!L27+'[4]7100'!L27+'[5]7100'!L27+'[6]7100'!L27+'[7]7100'!L27</f>
        <v>0</v>
      </c>
    </row>
    <row r="120" spans="1:18" s="32" customFormat="1" ht="21" hidden="1" customHeight="1" thickBot="1">
      <c r="A120" s="97"/>
      <c r="B120" s="164" t="s">
        <v>403</v>
      </c>
      <c r="C120" s="165">
        <f t="shared" ref="C120:K120" si="12">SUM(C111:C119)</f>
        <v>13231741.82</v>
      </c>
      <c r="D120" s="165">
        <f t="shared" si="12"/>
        <v>-2876228.1700000004</v>
      </c>
      <c r="E120" s="165">
        <f t="shared" si="12"/>
        <v>16210.62</v>
      </c>
      <c r="F120" s="165">
        <f t="shared" si="12"/>
        <v>0</v>
      </c>
      <c r="G120" s="165">
        <f t="shared" si="12"/>
        <v>10339303.029999999</v>
      </c>
      <c r="H120" s="165">
        <f t="shared" si="12"/>
        <v>10325398.999999998</v>
      </c>
      <c r="I120" s="165">
        <f t="shared" si="12"/>
        <v>0</v>
      </c>
      <c r="J120" s="165">
        <f t="shared" si="12"/>
        <v>0</v>
      </c>
      <c r="K120" s="165">
        <f t="shared" si="12"/>
        <v>13904.02999999934</v>
      </c>
    </row>
    <row r="121" spans="1:18" s="32" customFormat="1" ht="21" hidden="1" customHeight="1">
      <c r="A121" s="97"/>
    </row>
    <row r="122" spans="1:18" s="32" customFormat="1" ht="21" hidden="1" customHeight="1" thickBot="1">
      <c r="A122" s="97"/>
    </row>
    <row r="123" spans="1:18" s="32" customFormat="1" ht="33" hidden="1" customHeight="1">
      <c r="A123" s="97"/>
      <c r="B123" s="181" t="s">
        <v>406</v>
      </c>
      <c r="C123" s="182" t="s">
        <v>371</v>
      </c>
      <c r="E123" s="181" t="s">
        <v>407</v>
      </c>
      <c r="F123" s="182" t="s">
        <v>371</v>
      </c>
    </row>
    <row r="124" spans="1:18" s="32" customFormat="1" ht="12.95" hidden="1" customHeight="1">
      <c r="A124" s="97"/>
      <c r="B124" s="183" t="s">
        <v>372</v>
      </c>
      <c r="C124" s="194">
        <f>'[1]6100'!D3+'[2]6100'!D3+'[3]6100'!D3+'[4]6100'!D3+'[5]6100'!D3+'[6]6100'!D3+'[7]6100'!D3</f>
        <v>7942788.2699999996</v>
      </c>
      <c r="D124" s="41"/>
      <c r="E124" s="187" t="s">
        <v>385</v>
      </c>
      <c r="F124" s="194">
        <f>'[1]6100'!D23+'[2]6100'!D23+'[3]6100'!D23+'[4]6100'!D23+'[5]6100'!D23+'[6]6100'!D23+'[7]6100'!D23</f>
        <v>62788825.109999999</v>
      </c>
      <c r="G124" s="41"/>
      <c r="H124" s="41"/>
      <c r="I124" s="41"/>
      <c r="J124" s="41"/>
      <c r="K124" s="41"/>
      <c r="L124" s="41"/>
      <c r="M124" s="41"/>
      <c r="N124" s="41"/>
      <c r="O124" s="41"/>
      <c r="P124" s="41"/>
      <c r="Q124" s="41"/>
      <c r="R124" s="41"/>
    </row>
    <row r="125" spans="1:18" ht="15.75" hidden="1">
      <c r="B125" s="184" t="s">
        <v>373</v>
      </c>
      <c r="C125" s="194">
        <f>'[1]6100'!D4+'[2]6100'!D4+'[3]6100'!D4+'[4]6100'!D4+'[5]6100'!D4+'[6]6100'!D4+'[7]6100'!D4</f>
        <v>7913344.2899999991</v>
      </c>
      <c r="E125" s="188" t="s">
        <v>335</v>
      </c>
      <c r="F125" s="194">
        <f>'[1]6100'!D24+'[2]6100'!D24+'[3]6100'!D24+'[4]6100'!D24+'[5]6100'!D24+'[6]6100'!D24+'[7]6100'!D24</f>
        <v>36462853.890000001</v>
      </c>
    </row>
    <row r="126" spans="1:18" ht="15.75" hidden="1">
      <c r="B126" s="184" t="s">
        <v>374</v>
      </c>
      <c r="C126" s="194">
        <f>'[1]6100'!D5+'[2]6100'!D5+'[3]6100'!D5+'[4]6100'!D5+'[5]6100'!D5+'[6]6100'!D5+'[7]6100'!D5</f>
        <v>13904.029999999999</v>
      </c>
      <c r="E126" s="188" t="s">
        <v>337</v>
      </c>
      <c r="F126" s="194">
        <f>'[1]6100'!D25+'[2]6100'!D25+'[3]6100'!D25+'[4]6100'!D25+'[5]6100'!D25+'[6]6100'!D25+'[7]6100'!D25</f>
        <v>10325399.000000002</v>
      </c>
    </row>
    <row r="127" spans="1:18" ht="15.75" hidden="1">
      <c r="B127" s="184" t="s">
        <v>375</v>
      </c>
      <c r="C127" s="194">
        <f>'[1]6100'!D6+'[2]6100'!D6+'[3]6100'!D6+'[4]6100'!D6+'[5]6100'!D6+'[6]6100'!D6+'[7]6100'!D6</f>
        <v>16984.509999999998</v>
      </c>
      <c r="E127" s="188" t="s">
        <v>340</v>
      </c>
      <c r="F127" s="194">
        <f>'[1]6100'!D26+'[2]6100'!D26+'[3]6100'!D26+'[4]6100'!D26+'[5]6100'!D26+'[6]6100'!D26+'[7]6100'!D26</f>
        <v>16000572.220000001</v>
      </c>
    </row>
    <row r="128" spans="1:18" ht="15.75" hidden="1">
      <c r="B128" s="184" t="s">
        <v>376</v>
      </c>
      <c r="C128" s="194">
        <f>'[1]6100'!D7+'[2]6100'!D7+'[3]6100'!D7+'[4]6100'!D7+'[5]6100'!D7+'[6]6100'!D7+'[7]6100'!D7</f>
        <v>0</v>
      </c>
      <c r="E128" s="184" t="s">
        <v>342</v>
      </c>
      <c r="F128" s="194">
        <f>'[1]6100'!D27+'[2]6100'!D27+'[3]6100'!D27+'[4]6100'!D27+'[5]6100'!D27+'[6]6100'!D27+'[7]6100'!D27</f>
        <v>0</v>
      </c>
    </row>
    <row r="129" spans="1:44" ht="15.75" hidden="1">
      <c r="B129" s="184" t="s">
        <v>377</v>
      </c>
      <c r="C129" s="194">
        <f>'[1]6100'!D8+'[2]6100'!D8+'[3]6100'!D8+'[4]6100'!D8+'[5]6100'!D8+'[6]6100'!D8+'[7]6100'!D8</f>
        <v>1444.52</v>
      </c>
      <c r="E129" s="189" t="s">
        <v>345</v>
      </c>
      <c r="F129" s="194">
        <f>'[1]6100'!D28+'[2]6100'!D28+'[3]6100'!D28+'[4]6100'!D28+'[5]6100'!D28+'[6]6100'!D28+'[7]6100'!D28</f>
        <v>61625218.529999994</v>
      </c>
    </row>
    <row r="130" spans="1:44" ht="15.75" hidden="1">
      <c r="B130" s="184" t="s">
        <v>378</v>
      </c>
      <c r="C130" s="194">
        <f>'[1]6100'!D9+'[2]6100'!D9+'[3]6100'!D9+'[4]6100'!D9+'[5]6100'!D9+'[6]6100'!D9+'[7]6100'!D9</f>
        <v>0.04</v>
      </c>
      <c r="E130" s="188" t="s">
        <v>335</v>
      </c>
      <c r="F130" s="194">
        <f>'[1]6100'!D29+'[2]6100'!D29+'[3]6100'!D29+'[4]6100'!D29+'[5]6100'!D29+'[6]6100'!D29+'[7]6100'!D29</f>
        <v>40270636.93</v>
      </c>
    </row>
    <row r="131" spans="1:44" ht="15.75" hidden="1">
      <c r="B131" s="183" t="s">
        <v>379</v>
      </c>
      <c r="C131" s="194">
        <f>'[1]6100'!D10+'[2]6100'!D10+'[3]6100'!D10+'[4]6100'!D10+'[5]6100'!D10+'[6]6100'!D10+'[7]6100'!D10</f>
        <v>3496994.6399999997</v>
      </c>
      <c r="E131" s="188" t="s">
        <v>337</v>
      </c>
      <c r="F131" s="194">
        <f>'[1]6100'!D30+'[2]6100'!D30+'[3]6100'!D30+'[4]6100'!D30+'[5]6100'!D30+'[6]6100'!D30+'[7]6100'!D30</f>
        <v>484780.23999999993</v>
      </c>
    </row>
    <row r="132" spans="1:44" s="32" customFormat="1" ht="18" hidden="1" customHeight="1">
      <c r="A132" s="3"/>
      <c r="B132" s="184" t="s">
        <v>373</v>
      </c>
      <c r="C132" s="194">
        <f>'[1]6100'!D11+'[2]6100'!D11+'[3]6100'!D11+'[4]6100'!D11+'[5]6100'!D11+'[6]6100'!D11+'[7]6100'!D11</f>
        <v>585817.54999999993</v>
      </c>
      <c r="D132" s="101"/>
      <c r="E132" s="188" t="s">
        <v>340</v>
      </c>
      <c r="F132" s="194">
        <f>'[1]6100'!D31+'[2]6100'!D31+'[3]6100'!D31+'[4]6100'!D31+'[5]6100'!D31+'[6]6100'!D31+'[7]6100'!D31</f>
        <v>20869801.360000003</v>
      </c>
      <c r="G132" s="101"/>
      <c r="H132" s="101"/>
      <c r="I132" s="101"/>
      <c r="J132" s="101"/>
      <c r="K132" s="101"/>
      <c r="L132" s="101"/>
      <c r="M132" s="101"/>
      <c r="N132" s="101"/>
      <c r="O132" s="101"/>
      <c r="P132" s="101"/>
      <c r="Q132" s="101"/>
      <c r="R132" s="101"/>
    </row>
    <row r="133" spans="1:44" ht="15.75" hidden="1">
      <c r="B133" s="184" t="s">
        <v>374</v>
      </c>
      <c r="C133" s="194">
        <f>'[1]6100'!D12+'[2]6100'!D12+'[3]6100'!D12+'[4]6100'!D12+'[5]6100'!D12+'[6]6100'!D12+'[7]6100'!D12</f>
        <v>906.61999999999989</v>
      </c>
      <c r="E133" s="184" t="s">
        <v>342</v>
      </c>
      <c r="F133" s="194">
        <f>'[1]6100'!D32+'[2]6100'!D32+'[3]6100'!D32+'[4]6100'!D32+'[5]6100'!D32+'[6]6100'!D32+'[7]6100'!D32</f>
        <v>0</v>
      </c>
    </row>
    <row r="134" spans="1:44" ht="15.75" hidden="1">
      <c r="B134" s="184" t="s">
        <v>375</v>
      </c>
      <c r="C134" s="194">
        <f>'[1]6100'!D13+'[2]6100'!D13+'[3]6100'!D13+'[4]6100'!D13+'[5]6100'!D13+'[6]6100'!D13+'[7]6100'!D13</f>
        <v>2912439.44</v>
      </c>
      <c r="E134" s="190" t="s">
        <v>386</v>
      </c>
      <c r="F134" s="194">
        <f>'[1]6100'!D33+'[2]6100'!D33+'[3]6100'!D33+'[4]6100'!D33+'[5]6100'!D33+'[6]6100'!D33+'[7]6100'!D33</f>
        <v>1163606.5800000026</v>
      </c>
    </row>
    <row r="135" spans="1:44" ht="15.75" hidden="1">
      <c r="B135" s="184" t="s">
        <v>376</v>
      </c>
      <c r="C135" s="194">
        <f>'[1]6100'!D14+'[2]6100'!D14+'[3]6100'!D14+'[4]6100'!D14+'[5]6100'!D14+'[6]6100'!D14+'[7]6100'!D14</f>
        <v>0</v>
      </c>
      <c r="E135" s="190" t="s">
        <v>356</v>
      </c>
      <c r="F135" s="194">
        <f>'[1]6100'!D34+'[2]6100'!D34+'[3]6100'!D34+'[4]6100'!D34+'[5]6100'!D34+'[6]6100'!D34+'[7]6100'!D34</f>
        <v>6047167.0199999996</v>
      </c>
    </row>
    <row r="136" spans="1:44" customFormat="1" ht="12.95" hidden="1" customHeight="1" thickBot="1">
      <c r="A136" s="82"/>
      <c r="B136" s="184" t="s">
        <v>380</v>
      </c>
      <c r="C136" s="194">
        <f>'[1]6100'!D15+'[2]6100'!D15+'[3]6100'!D15+'[4]6100'!D15+'[5]6100'!D15+'[6]6100'!D15+'[7]6100'!D15</f>
        <v>2168.9699999999998</v>
      </c>
      <c r="D136" s="42"/>
      <c r="E136" s="191" t="s">
        <v>360</v>
      </c>
      <c r="F136" s="194">
        <f>'[1]6100'!D35+'[2]6100'!D35+'[3]6100'!D35+'[4]6100'!D35+'[5]6100'!D35+'[6]6100'!D35+'[7]6100'!D35</f>
        <v>7210773.6000000034</v>
      </c>
      <c r="G136" s="42"/>
      <c r="H136" s="42"/>
      <c r="I136" s="42"/>
      <c r="J136" s="42"/>
      <c r="K136" s="42"/>
      <c r="L136" s="42"/>
      <c r="M136" s="42"/>
      <c r="N136" s="42"/>
      <c r="O136" s="42"/>
      <c r="P136" s="42"/>
      <c r="Q136" s="42"/>
      <c r="R136" s="42"/>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ht="18" hidden="1" customHeight="1">
      <c r="B137" s="183" t="s">
        <v>381</v>
      </c>
      <c r="C137" s="194">
        <f>'[1]6100'!D16+'[2]6100'!D16+'[3]6100'!D16+'[4]6100'!D16+'[5]6100'!D16+'[6]6100'!D16+'[7]6100'!D16</f>
        <v>7210773.5999999996</v>
      </c>
      <c r="D137" s="42"/>
      <c r="G137" s="42"/>
      <c r="H137" s="42"/>
      <c r="I137" s="42"/>
      <c r="J137" s="42"/>
      <c r="K137" s="42"/>
      <c r="L137" s="42"/>
      <c r="M137" s="42"/>
      <c r="N137" s="42"/>
      <c r="O137" s="42"/>
      <c r="P137" s="42"/>
      <c r="Q137" s="42"/>
      <c r="R137" s="42"/>
    </row>
    <row r="138" spans="1:44" ht="18" hidden="1" customHeight="1">
      <c r="A138" s="1"/>
      <c r="B138" s="185" t="s">
        <v>382</v>
      </c>
      <c r="C138" s="194">
        <f>'[1]6100'!D17+'[2]6100'!D17+'[3]6100'!D17+'[4]6100'!D17+'[5]6100'!D17+'[6]6100'!D17+'[7]6100'!D17</f>
        <v>0</v>
      </c>
      <c r="D138" s="42"/>
      <c r="G138" s="42"/>
      <c r="H138" s="42"/>
      <c r="I138" s="42"/>
      <c r="J138" s="42"/>
      <c r="K138" s="42"/>
      <c r="L138" s="42"/>
      <c r="M138" s="42"/>
      <c r="N138" s="42"/>
      <c r="O138" s="42"/>
      <c r="P138" s="42"/>
      <c r="Q138" s="42"/>
      <c r="R138" s="42"/>
    </row>
    <row r="139" spans="1:44" ht="18" hidden="1" customHeight="1">
      <c r="B139" s="185" t="s">
        <v>383</v>
      </c>
      <c r="C139" s="194">
        <f>'[1]6100'!D18+'[2]6100'!D18+'[3]6100'!D18+'[4]6100'!D18+'[5]6100'!D18+'[6]6100'!D18+'[7]6100'!D18</f>
        <v>11656567.229999999</v>
      </c>
      <c r="D139" s="42"/>
      <c r="G139" s="42"/>
      <c r="H139" s="42"/>
      <c r="I139" s="42"/>
      <c r="J139" s="42"/>
      <c r="K139" s="42"/>
      <c r="L139" s="42"/>
      <c r="M139" s="42"/>
      <c r="N139" s="42"/>
      <c r="O139" s="42"/>
      <c r="P139" s="42"/>
      <c r="Q139" s="42"/>
      <c r="R139" s="42"/>
    </row>
    <row r="140" spans="1:44" ht="16.5" hidden="1" thickBot="1">
      <c r="A140" s="31"/>
      <c r="B140" s="186" t="s">
        <v>384</v>
      </c>
      <c r="C140" s="194">
        <f>'[1]6100'!D19+'[2]6100'!D19+'[3]6100'!D19+'[4]6100'!D19+'[5]6100'!D19+'[6]6100'!D19+'[7]6100'!D19</f>
        <v>11656567.23</v>
      </c>
      <c r="D140" s="42"/>
      <c r="G140" s="42"/>
      <c r="H140" s="42"/>
      <c r="I140" s="42"/>
      <c r="J140" s="42"/>
      <c r="K140" s="42"/>
      <c r="L140" s="42"/>
      <c r="M140" s="42"/>
      <c r="N140" s="42"/>
      <c r="O140" s="42"/>
      <c r="P140" s="42"/>
      <c r="Q140" s="42"/>
      <c r="R140" s="42"/>
    </row>
    <row r="141" spans="1:44" ht="15.75" hidden="1">
      <c r="A141" s="31"/>
      <c r="D141" s="42"/>
      <c r="E141" s="42"/>
      <c r="F141" s="42"/>
      <c r="G141" s="42"/>
      <c r="H141" s="42"/>
      <c r="I141" s="42"/>
      <c r="J141" s="42"/>
      <c r="K141" s="42"/>
      <c r="L141" s="42"/>
      <c r="M141" s="42"/>
      <c r="N141" s="42"/>
      <c r="O141" s="42"/>
      <c r="P141" s="42"/>
      <c r="Q141" s="42"/>
      <c r="R141" s="42"/>
    </row>
    <row r="142" spans="1:44" ht="16.5" hidden="1" thickBot="1">
      <c r="E142" s="42"/>
      <c r="F142" s="42"/>
      <c r="G142" s="42"/>
      <c r="H142" s="42"/>
      <c r="I142" s="42"/>
      <c r="J142" s="42"/>
      <c r="K142" s="42"/>
      <c r="L142" s="42"/>
      <c r="M142" s="42"/>
      <c r="N142" s="42"/>
      <c r="O142" s="42"/>
      <c r="P142" s="42"/>
      <c r="Q142" s="42"/>
      <c r="R142" s="42"/>
    </row>
    <row r="143" spans="1:44" ht="15.75" hidden="1">
      <c r="B143" s="229" t="s">
        <v>408</v>
      </c>
      <c r="C143" s="232" t="s">
        <v>387</v>
      </c>
      <c r="D143" s="232" t="s">
        <v>388</v>
      </c>
      <c r="E143" s="249" t="s">
        <v>389</v>
      </c>
      <c r="F143" s="232" t="s">
        <v>390</v>
      </c>
      <c r="G143" s="227" t="s">
        <v>391</v>
      </c>
      <c r="I143" s="42"/>
      <c r="J143" s="42"/>
      <c r="K143" s="42"/>
      <c r="L143" s="42"/>
      <c r="M143" s="42"/>
      <c r="N143" s="42"/>
      <c r="O143" s="42"/>
      <c r="P143" s="42"/>
      <c r="Q143" s="42"/>
      <c r="R143" s="42"/>
    </row>
    <row r="144" spans="1:44" ht="15.75" hidden="1">
      <c r="B144" s="230"/>
      <c r="C144" s="233"/>
      <c r="D144" s="233"/>
      <c r="E144" s="250"/>
      <c r="F144" s="233"/>
      <c r="G144" s="228"/>
      <c r="I144" s="42"/>
      <c r="J144" s="42"/>
      <c r="K144" s="42"/>
      <c r="L144" s="42"/>
      <c r="M144" s="42"/>
      <c r="N144" s="42"/>
      <c r="O144" s="42"/>
      <c r="P144" s="42"/>
      <c r="Q144" s="42"/>
      <c r="R144" s="42"/>
    </row>
    <row r="145" spans="2:18" ht="15.75" hidden="1">
      <c r="B145" s="231"/>
      <c r="C145" s="158" t="s">
        <v>288</v>
      </c>
      <c r="D145" s="158" t="s">
        <v>284</v>
      </c>
      <c r="E145" s="158" t="s">
        <v>285</v>
      </c>
      <c r="F145" s="158" t="s">
        <v>286</v>
      </c>
      <c r="G145" s="158" t="s">
        <v>287</v>
      </c>
      <c r="I145" s="42"/>
      <c r="J145" s="42"/>
      <c r="K145" s="42"/>
      <c r="L145" s="42"/>
      <c r="M145" s="42"/>
      <c r="N145" s="42"/>
      <c r="O145" s="42"/>
      <c r="P145" s="42"/>
      <c r="Q145" s="42"/>
      <c r="R145" s="42"/>
    </row>
    <row r="146" spans="2:18" ht="15.75" hidden="1">
      <c r="B146" s="161" t="s">
        <v>292</v>
      </c>
      <c r="C146" s="162">
        <v>0</v>
      </c>
      <c r="D146" s="162">
        <v>0</v>
      </c>
      <c r="E146" s="162">
        <v>0</v>
      </c>
      <c r="F146" s="162">
        <v>0</v>
      </c>
      <c r="G146" s="162">
        <v>0</v>
      </c>
      <c r="I146" s="42"/>
      <c r="J146" s="42"/>
      <c r="K146" s="42"/>
      <c r="L146" s="42"/>
      <c r="M146" s="42"/>
      <c r="N146" s="42"/>
      <c r="O146" s="42"/>
      <c r="P146" s="42"/>
      <c r="Q146" s="42"/>
      <c r="R146" s="42"/>
    </row>
    <row r="147" spans="2:18" ht="15.75" hidden="1">
      <c r="B147" s="163" t="s">
        <v>293</v>
      </c>
      <c r="C147" s="162">
        <v>0</v>
      </c>
      <c r="D147" s="162">
        <v>0</v>
      </c>
      <c r="E147" s="162">
        <v>0</v>
      </c>
      <c r="F147" s="162">
        <v>0</v>
      </c>
      <c r="G147" s="162">
        <v>0</v>
      </c>
      <c r="I147" s="42"/>
      <c r="J147" s="42"/>
      <c r="K147" s="42"/>
      <c r="L147" s="42"/>
      <c r="M147" s="42"/>
      <c r="N147" s="42"/>
      <c r="O147" s="42"/>
      <c r="P147" s="42"/>
      <c r="Q147" s="42"/>
      <c r="R147" s="42"/>
    </row>
    <row r="148" spans="2:18" ht="15.75" hidden="1">
      <c r="B148" s="163" t="s">
        <v>294</v>
      </c>
      <c r="C148" s="162">
        <v>0</v>
      </c>
      <c r="D148" s="162">
        <v>0</v>
      </c>
      <c r="E148" s="162">
        <v>0</v>
      </c>
      <c r="F148" s="162">
        <v>0</v>
      </c>
      <c r="G148" s="162">
        <v>0</v>
      </c>
      <c r="I148" s="42"/>
      <c r="J148" s="42"/>
      <c r="K148" s="42"/>
      <c r="L148" s="42"/>
      <c r="M148" s="42"/>
      <c r="N148" s="42"/>
      <c r="O148" s="42"/>
      <c r="P148" s="42"/>
      <c r="Q148" s="42"/>
      <c r="R148" s="42"/>
    </row>
    <row r="149" spans="2:18" ht="15.75" hidden="1">
      <c r="B149" s="163" t="s">
        <v>295</v>
      </c>
      <c r="C149" s="162">
        <v>0</v>
      </c>
      <c r="D149" s="162">
        <v>0</v>
      </c>
      <c r="E149" s="162">
        <v>0</v>
      </c>
      <c r="F149" s="162">
        <v>0</v>
      </c>
      <c r="G149" s="162">
        <v>0</v>
      </c>
      <c r="I149" s="42"/>
      <c r="J149" s="42"/>
      <c r="K149" s="42"/>
      <c r="L149" s="42"/>
      <c r="M149" s="42"/>
      <c r="N149" s="42"/>
      <c r="O149" s="42"/>
      <c r="P149" s="42"/>
      <c r="Q149" s="42"/>
      <c r="R149" s="42"/>
    </row>
    <row r="150" spans="2:18" ht="15.75" hidden="1">
      <c r="B150" s="163" t="s">
        <v>296</v>
      </c>
      <c r="C150" s="162">
        <v>0</v>
      </c>
      <c r="D150" s="162">
        <v>0</v>
      </c>
      <c r="E150" s="162">
        <v>0</v>
      </c>
      <c r="F150" s="162">
        <v>0</v>
      </c>
      <c r="G150" s="162">
        <v>0</v>
      </c>
      <c r="I150" s="42"/>
      <c r="J150" s="42"/>
      <c r="K150" s="42"/>
      <c r="L150" s="42"/>
      <c r="M150" s="42"/>
      <c r="N150" s="42"/>
      <c r="O150" s="42"/>
      <c r="P150" s="42"/>
      <c r="Q150" s="42"/>
      <c r="R150" s="42"/>
    </row>
    <row r="151" spans="2:18" ht="15.75" hidden="1">
      <c r="B151" s="163" t="s">
        <v>297</v>
      </c>
      <c r="C151" s="162">
        <v>0</v>
      </c>
      <c r="D151" s="162">
        <v>0</v>
      </c>
      <c r="E151" s="162">
        <v>0</v>
      </c>
      <c r="F151" s="162">
        <v>0</v>
      </c>
      <c r="G151" s="162">
        <v>0</v>
      </c>
      <c r="I151" s="42"/>
      <c r="J151" s="42"/>
      <c r="K151" s="42"/>
      <c r="L151" s="42"/>
      <c r="M151" s="42"/>
      <c r="N151" s="42"/>
      <c r="O151" s="42"/>
      <c r="P151" s="42"/>
      <c r="Q151" s="42"/>
      <c r="R151" s="42"/>
    </row>
    <row r="152" spans="2:18" ht="15.75" hidden="1">
      <c r="B152" s="163" t="s">
        <v>298</v>
      </c>
      <c r="C152" s="162">
        <v>0</v>
      </c>
      <c r="D152" s="162">
        <v>0</v>
      </c>
      <c r="E152" s="162">
        <v>0</v>
      </c>
      <c r="F152" s="162">
        <v>0</v>
      </c>
      <c r="G152" s="162">
        <v>0</v>
      </c>
      <c r="I152" s="42"/>
      <c r="J152" s="42"/>
      <c r="K152" s="42"/>
      <c r="L152" s="42"/>
      <c r="M152" s="42"/>
      <c r="N152" s="42"/>
      <c r="O152" s="42"/>
      <c r="P152" s="42"/>
      <c r="Q152" s="42"/>
      <c r="R152" s="42"/>
    </row>
    <row r="153" spans="2:18" ht="15.75" hidden="1">
      <c r="B153" s="163" t="s">
        <v>299</v>
      </c>
      <c r="C153" s="162">
        <v>0</v>
      </c>
      <c r="D153" s="162">
        <v>0</v>
      </c>
      <c r="E153" s="162">
        <v>0</v>
      </c>
      <c r="F153" s="162">
        <v>0</v>
      </c>
      <c r="G153" s="162">
        <v>0</v>
      </c>
      <c r="I153" s="42"/>
      <c r="J153" s="42"/>
      <c r="K153" s="42"/>
      <c r="L153" s="42"/>
      <c r="M153" s="42"/>
      <c r="N153" s="42"/>
      <c r="O153" s="42"/>
      <c r="P153" s="42"/>
      <c r="Q153" s="42"/>
      <c r="R153" s="42"/>
    </row>
    <row r="154" spans="2:18" ht="16.5" hidden="1" thickBot="1">
      <c r="B154" s="164" t="s">
        <v>392</v>
      </c>
      <c r="C154" s="165">
        <f>SUM(C146:C153)</f>
        <v>0</v>
      </c>
      <c r="D154" s="165">
        <f>SUM(D146:D153)</f>
        <v>0</v>
      </c>
      <c r="E154" s="165">
        <f>SUM(E146:E153)</f>
        <v>0</v>
      </c>
      <c r="F154" s="165">
        <f>SUM(F146:F153)</f>
        <v>0</v>
      </c>
      <c r="G154" s="166">
        <f>SUM(G146:G153)</f>
        <v>0</v>
      </c>
      <c r="I154" s="42"/>
      <c r="J154" s="42"/>
      <c r="K154" s="42"/>
      <c r="L154" s="42"/>
      <c r="M154" s="42"/>
      <c r="N154" s="42"/>
      <c r="O154" s="42"/>
      <c r="P154" s="42"/>
      <c r="Q154" s="42"/>
      <c r="R154" s="42"/>
    </row>
    <row r="155" spans="2:18" ht="15.75" hidden="1">
      <c r="J155" s="42"/>
      <c r="K155" s="42"/>
      <c r="L155" s="42"/>
      <c r="M155" s="42"/>
      <c r="N155" s="42"/>
      <c r="O155" s="42"/>
      <c r="P155" s="42"/>
      <c r="Q155" s="42"/>
      <c r="R155" s="42"/>
    </row>
    <row r="156" spans="2:18" ht="16.5" hidden="1" thickBot="1">
      <c r="J156" s="42"/>
      <c r="K156" s="42"/>
      <c r="L156" s="42"/>
      <c r="M156" s="42"/>
      <c r="N156" s="42"/>
      <c r="O156" s="42"/>
      <c r="P156" s="42"/>
      <c r="Q156" s="42"/>
      <c r="R156" s="42"/>
    </row>
    <row r="157" spans="2:18" ht="15.75" hidden="1">
      <c r="B157" s="229" t="s">
        <v>409</v>
      </c>
      <c r="C157" s="232" t="s">
        <v>393</v>
      </c>
      <c r="D157" s="232" t="s">
        <v>394</v>
      </c>
      <c r="E157" s="249" t="s">
        <v>395</v>
      </c>
      <c r="F157" s="249" t="s">
        <v>396</v>
      </c>
      <c r="G157" s="232" t="s">
        <v>397</v>
      </c>
      <c r="H157" s="232" t="s">
        <v>398</v>
      </c>
      <c r="I157" s="232" t="s">
        <v>399</v>
      </c>
      <c r="J157" s="232" t="s">
        <v>400</v>
      </c>
      <c r="K157" s="227" t="s">
        <v>401</v>
      </c>
      <c r="L157" s="42"/>
      <c r="M157" s="42"/>
      <c r="N157" s="42"/>
      <c r="O157" s="42"/>
      <c r="P157" s="42"/>
      <c r="Q157" s="42"/>
      <c r="R157" s="42"/>
    </row>
    <row r="158" spans="2:18" ht="15.75" hidden="1">
      <c r="B158" s="230"/>
      <c r="C158" s="233"/>
      <c r="D158" s="233"/>
      <c r="E158" s="250"/>
      <c r="F158" s="250"/>
      <c r="G158" s="233"/>
      <c r="H158" s="233"/>
      <c r="I158" s="233"/>
      <c r="J158" s="233"/>
      <c r="K158" s="228"/>
      <c r="L158" s="42"/>
      <c r="M158" s="42"/>
      <c r="N158" s="42"/>
      <c r="O158" s="42"/>
      <c r="P158" s="42"/>
      <c r="Q158" s="42"/>
      <c r="R158" s="42"/>
    </row>
    <row r="159" spans="2:18" ht="15.75" hidden="1">
      <c r="B159" s="231"/>
      <c r="C159" s="158" t="s">
        <v>288</v>
      </c>
      <c r="D159" s="158" t="s">
        <v>284</v>
      </c>
      <c r="E159" s="158" t="s">
        <v>285</v>
      </c>
      <c r="F159" s="158" t="s">
        <v>286</v>
      </c>
      <c r="G159" s="158" t="s">
        <v>287</v>
      </c>
      <c r="H159" s="158" t="s">
        <v>289</v>
      </c>
      <c r="I159" s="158" t="s">
        <v>290</v>
      </c>
      <c r="J159" s="158" t="s">
        <v>291</v>
      </c>
      <c r="K159" s="158" t="s">
        <v>402</v>
      </c>
      <c r="L159" s="42"/>
      <c r="M159" s="42"/>
      <c r="N159" s="42"/>
      <c r="O159" s="42"/>
      <c r="P159" s="42"/>
      <c r="Q159" s="42"/>
      <c r="R159" s="42"/>
    </row>
    <row r="160" spans="2:18" hidden="1">
      <c r="B160" s="161" t="s">
        <v>306</v>
      </c>
      <c r="C160" s="162">
        <v>0</v>
      </c>
      <c r="D160" s="162">
        <v>0</v>
      </c>
      <c r="E160" s="162">
        <v>0</v>
      </c>
      <c r="F160" s="162">
        <v>0</v>
      </c>
      <c r="G160" s="162">
        <v>0</v>
      </c>
      <c r="H160" s="162">
        <v>0</v>
      </c>
      <c r="I160" s="162">
        <v>0</v>
      </c>
      <c r="J160" s="162">
        <v>0</v>
      </c>
      <c r="K160" s="162">
        <v>0</v>
      </c>
      <c r="L160" s="162">
        <f>'[8]7100'!N19+'[9]7100'!N19+'[10]7100'!N19+'[11]7100'!N19+'[12]7100'!N19</f>
        <v>0</v>
      </c>
      <c r="M160" s="162">
        <f>'[8]7100'!O19+'[9]7100'!O19+'[10]7100'!O19+'[11]7100'!O19+'[12]7100'!O19</f>
        <v>0</v>
      </c>
      <c r="N160" s="162">
        <f>'[8]7100'!P19+'[9]7100'!P19+'[10]7100'!P19+'[11]7100'!P19+'[12]7100'!P19</f>
        <v>0</v>
      </c>
      <c r="O160" s="162">
        <f>'[8]7100'!Q19+'[9]7100'!Q19+'[10]7100'!Q19+'[11]7100'!Q19+'[12]7100'!Q19</f>
        <v>0</v>
      </c>
      <c r="P160" s="162"/>
      <c r="Q160" s="162">
        <f>'[8]7100'!R19+'[9]7100'!R19+'[10]7100'!R19+'[11]7100'!R19+'[12]7100'!R19</f>
        <v>0</v>
      </c>
      <c r="R160" s="162">
        <f>'[8]7100'!S19+'[9]7100'!S19+'[10]7100'!S19+'[11]7100'!S19+'[12]7100'!S19</f>
        <v>0</v>
      </c>
    </row>
    <row r="161" spans="2:18" hidden="1">
      <c r="B161" s="163" t="s">
        <v>307</v>
      </c>
      <c r="C161" s="162">
        <v>0</v>
      </c>
      <c r="D161" s="162">
        <v>0</v>
      </c>
      <c r="E161" s="162">
        <v>0</v>
      </c>
      <c r="F161" s="162">
        <v>0</v>
      </c>
      <c r="G161" s="162">
        <v>0</v>
      </c>
      <c r="H161" s="162">
        <v>0</v>
      </c>
      <c r="I161" s="162">
        <v>0</v>
      </c>
      <c r="J161" s="162">
        <v>0</v>
      </c>
      <c r="K161" s="162">
        <v>0</v>
      </c>
      <c r="L161" s="162">
        <f>'[8]7100'!N20+'[9]7100'!N20+'[10]7100'!N20+'[11]7100'!N20+'[12]7100'!N20</f>
        <v>0</v>
      </c>
      <c r="M161" s="162">
        <f>'[8]7100'!O20+'[9]7100'!O20+'[10]7100'!O20+'[11]7100'!O20+'[12]7100'!O20</f>
        <v>0</v>
      </c>
      <c r="N161" s="162">
        <f>'[8]7100'!P20+'[9]7100'!P20+'[10]7100'!P20+'[11]7100'!P20+'[12]7100'!P20</f>
        <v>0</v>
      </c>
      <c r="O161" s="162">
        <f>'[8]7100'!Q20+'[9]7100'!Q20+'[10]7100'!Q20+'[11]7100'!Q20+'[12]7100'!Q20</f>
        <v>0</v>
      </c>
      <c r="P161" s="162"/>
      <c r="Q161" s="162">
        <f>'[8]7100'!R20+'[9]7100'!R20+'[10]7100'!R20+'[11]7100'!R20+'[12]7100'!R20</f>
        <v>0</v>
      </c>
      <c r="R161" s="162">
        <f>'[8]7100'!S20+'[9]7100'!S20+'[10]7100'!S20+'[11]7100'!S20+'[12]7100'!S20</f>
        <v>0</v>
      </c>
    </row>
    <row r="162" spans="2:18" hidden="1">
      <c r="B162" s="163" t="s">
        <v>308</v>
      </c>
      <c r="C162" s="162">
        <v>0</v>
      </c>
      <c r="D162" s="162">
        <v>0</v>
      </c>
      <c r="E162" s="162">
        <v>0</v>
      </c>
      <c r="F162" s="162">
        <v>0</v>
      </c>
      <c r="G162" s="162">
        <v>0</v>
      </c>
      <c r="H162" s="162">
        <v>0</v>
      </c>
      <c r="I162" s="162">
        <v>0</v>
      </c>
      <c r="J162" s="162">
        <v>0</v>
      </c>
      <c r="K162" s="162">
        <v>0</v>
      </c>
      <c r="L162" s="162">
        <f>'[8]7100'!N21+'[9]7100'!N21+'[10]7100'!N21+'[11]7100'!N21+'[12]7100'!N21</f>
        <v>0</v>
      </c>
      <c r="M162" s="162">
        <f>'[8]7100'!O21+'[9]7100'!O21+'[10]7100'!O21+'[11]7100'!O21+'[12]7100'!O21</f>
        <v>0</v>
      </c>
      <c r="N162" s="162">
        <f>'[8]7100'!P21+'[9]7100'!P21+'[10]7100'!P21+'[11]7100'!P21+'[12]7100'!P21</f>
        <v>0</v>
      </c>
      <c r="O162" s="162">
        <f>'[8]7100'!Q21+'[9]7100'!Q21+'[10]7100'!Q21+'[11]7100'!Q21+'[12]7100'!Q21</f>
        <v>0</v>
      </c>
      <c r="P162" s="162"/>
      <c r="Q162" s="162">
        <f>'[8]7100'!R21+'[9]7100'!R21+'[10]7100'!R21+'[11]7100'!R21+'[12]7100'!R21</f>
        <v>0</v>
      </c>
      <c r="R162" s="162">
        <f>'[8]7100'!S21+'[9]7100'!S21+'[10]7100'!S21+'[11]7100'!S21+'[12]7100'!S21</f>
        <v>0</v>
      </c>
    </row>
    <row r="163" spans="2:18" hidden="1">
      <c r="B163" s="163" t="s">
        <v>295</v>
      </c>
      <c r="C163" s="162">
        <v>0</v>
      </c>
      <c r="D163" s="162">
        <v>0</v>
      </c>
      <c r="E163" s="162">
        <v>0</v>
      </c>
      <c r="F163" s="162">
        <v>0</v>
      </c>
      <c r="G163" s="162">
        <v>0</v>
      </c>
      <c r="H163" s="162">
        <v>0</v>
      </c>
      <c r="I163" s="162">
        <v>0</v>
      </c>
      <c r="J163" s="162">
        <v>0</v>
      </c>
      <c r="K163" s="162">
        <v>0</v>
      </c>
      <c r="L163" s="162">
        <f>'[8]7100'!N22+'[9]7100'!N22+'[10]7100'!N22+'[11]7100'!N22+'[12]7100'!N22</f>
        <v>0</v>
      </c>
      <c r="M163" s="162">
        <f>'[8]7100'!O22+'[9]7100'!O22+'[10]7100'!O22+'[11]7100'!O22+'[12]7100'!O22</f>
        <v>0</v>
      </c>
      <c r="N163" s="162">
        <f>'[8]7100'!P22+'[9]7100'!P22+'[10]7100'!P22+'[11]7100'!P22+'[12]7100'!P22</f>
        <v>0</v>
      </c>
      <c r="O163" s="162">
        <f>'[8]7100'!Q22+'[9]7100'!Q22+'[10]7100'!Q22+'[11]7100'!Q22+'[12]7100'!Q22</f>
        <v>0</v>
      </c>
      <c r="P163" s="162"/>
      <c r="Q163" s="162">
        <f>'[8]7100'!R22+'[9]7100'!R22+'[10]7100'!R22+'[11]7100'!R22+'[12]7100'!R22</f>
        <v>0</v>
      </c>
      <c r="R163" s="162">
        <f>'[8]7100'!S22+'[9]7100'!S22+'[10]7100'!S22+'[11]7100'!S22+'[12]7100'!S22</f>
        <v>0</v>
      </c>
    </row>
    <row r="164" spans="2:18" hidden="1">
      <c r="B164" s="163" t="s">
        <v>309</v>
      </c>
      <c r="C164" s="162">
        <v>0</v>
      </c>
      <c r="D164" s="162">
        <v>0</v>
      </c>
      <c r="E164" s="162">
        <v>0</v>
      </c>
      <c r="F164" s="162">
        <v>0</v>
      </c>
      <c r="G164" s="162">
        <v>0</v>
      </c>
      <c r="H164" s="162">
        <v>0</v>
      </c>
      <c r="I164" s="162">
        <v>0</v>
      </c>
      <c r="J164" s="162">
        <v>0</v>
      </c>
      <c r="K164" s="162">
        <v>0</v>
      </c>
      <c r="L164" s="162">
        <f>'[8]7100'!N23+'[9]7100'!N23+'[10]7100'!N23+'[11]7100'!N23+'[12]7100'!N23</f>
        <v>0</v>
      </c>
      <c r="M164" s="162">
        <f>'[8]7100'!O23+'[9]7100'!O23+'[10]7100'!O23+'[11]7100'!O23+'[12]7100'!O23</f>
        <v>0</v>
      </c>
      <c r="N164" s="162">
        <f>'[8]7100'!P23+'[9]7100'!P23+'[10]7100'!P23+'[11]7100'!P23+'[12]7100'!P23</f>
        <v>0</v>
      </c>
      <c r="O164" s="162">
        <f>'[8]7100'!Q23+'[9]7100'!Q23+'[10]7100'!Q23+'[11]7100'!Q23+'[12]7100'!Q23</f>
        <v>0</v>
      </c>
      <c r="P164" s="162"/>
      <c r="Q164" s="162">
        <f>'[8]7100'!R23+'[9]7100'!R23+'[10]7100'!R23+'[11]7100'!R23+'[12]7100'!R23</f>
        <v>0</v>
      </c>
      <c r="R164" s="162">
        <f>'[8]7100'!S23+'[9]7100'!S23+'[10]7100'!S23+'[11]7100'!S23+'[12]7100'!S23</f>
        <v>0</v>
      </c>
    </row>
    <row r="165" spans="2:18" hidden="1">
      <c r="B165" s="163" t="s">
        <v>310</v>
      </c>
      <c r="C165" s="162">
        <v>0</v>
      </c>
      <c r="D165" s="162">
        <v>0</v>
      </c>
      <c r="E165" s="162">
        <v>0</v>
      </c>
      <c r="F165" s="162">
        <v>0</v>
      </c>
      <c r="G165" s="162">
        <v>0</v>
      </c>
      <c r="H165" s="162">
        <v>0</v>
      </c>
      <c r="I165" s="162">
        <v>0</v>
      </c>
      <c r="J165" s="162">
        <v>0</v>
      </c>
      <c r="K165" s="162">
        <v>0</v>
      </c>
      <c r="L165" s="162">
        <f>'[8]7100'!N24+'[9]7100'!N24+'[10]7100'!N24+'[11]7100'!N24+'[12]7100'!N24</f>
        <v>0</v>
      </c>
      <c r="M165" s="162">
        <f>'[8]7100'!O24+'[9]7100'!O24+'[10]7100'!O24+'[11]7100'!O24+'[12]7100'!O24</f>
        <v>0</v>
      </c>
      <c r="N165" s="162">
        <f>'[8]7100'!P24+'[9]7100'!P24+'[10]7100'!P24+'[11]7100'!P24+'[12]7100'!P24</f>
        <v>0</v>
      </c>
      <c r="O165" s="162">
        <f>'[8]7100'!Q24+'[9]7100'!Q24+'[10]7100'!Q24+'[11]7100'!Q24+'[12]7100'!Q24</f>
        <v>0</v>
      </c>
      <c r="P165" s="162"/>
      <c r="Q165" s="162">
        <f>'[8]7100'!R24+'[9]7100'!R24+'[10]7100'!R24+'[11]7100'!R24+'[12]7100'!R24</f>
        <v>0</v>
      </c>
      <c r="R165" s="162">
        <f>'[8]7100'!S24+'[9]7100'!S24+'[10]7100'!S24+'[11]7100'!S24+'[12]7100'!S24</f>
        <v>0</v>
      </c>
    </row>
    <row r="166" spans="2:18" hidden="1">
      <c r="B166" s="163" t="s">
        <v>297</v>
      </c>
      <c r="C166" s="162">
        <v>0</v>
      </c>
      <c r="D166" s="162">
        <v>0</v>
      </c>
      <c r="E166" s="162">
        <v>0</v>
      </c>
      <c r="F166" s="162">
        <v>0</v>
      </c>
      <c r="G166" s="162">
        <v>0</v>
      </c>
      <c r="H166" s="162">
        <v>0</v>
      </c>
      <c r="I166" s="162">
        <v>0</v>
      </c>
      <c r="J166" s="162">
        <v>0</v>
      </c>
      <c r="K166" s="162">
        <v>0</v>
      </c>
      <c r="L166" s="162">
        <f>'[8]7100'!N25+'[9]7100'!N25+'[10]7100'!N25+'[11]7100'!N25+'[12]7100'!N25</f>
        <v>0</v>
      </c>
      <c r="M166" s="162">
        <f>'[8]7100'!O25+'[9]7100'!O25+'[10]7100'!O25+'[11]7100'!O25+'[12]7100'!O25</f>
        <v>0</v>
      </c>
      <c r="N166" s="162">
        <f>'[8]7100'!P25+'[9]7100'!P25+'[10]7100'!P25+'[11]7100'!P25+'[12]7100'!P25</f>
        <v>0</v>
      </c>
      <c r="O166" s="162">
        <f>'[8]7100'!Q25+'[9]7100'!Q25+'[10]7100'!Q25+'[11]7100'!Q25+'[12]7100'!Q25</f>
        <v>0</v>
      </c>
      <c r="P166" s="162"/>
      <c r="Q166" s="162">
        <f>'[8]7100'!R25+'[9]7100'!R25+'[10]7100'!R25+'[11]7100'!R25+'[12]7100'!R25</f>
        <v>0</v>
      </c>
      <c r="R166" s="162">
        <f>'[8]7100'!S25+'[9]7100'!S25+'[10]7100'!S25+'[11]7100'!S25+'[12]7100'!S25</f>
        <v>0</v>
      </c>
    </row>
    <row r="167" spans="2:18" hidden="1">
      <c r="B167" s="163" t="s">
        <v>298</v>
      </c>
      <c r="C167" s="162">
        <v>0</v>
      </c>
      <c r="D167" s="162">
        <v>0</v>
      </c>
      <c r="E167" s="162">
        <v>0</v>
      </c>
      <c r="F167" s="162">
        <v>0</v>
      </c>
      <c r="G167" s="162">
        <v>0</v>
      </c>
      <c r="H167" s="162">
        <v>0</v>
      </c>
      <c r="I167" s="162">
        <v>0</v>
      </c>
      <c r="J167" s="162">
        <v>0</v>
      </c>
      <c r="K167" s="162">
        <v>0</v>
      </c>
      <c r="L167" s="162">
        <f>'[8]7100'!N26+'[9]7100'!N26+'[10]7100'!N26+'[11]7100'!N26+'[12]7100'!N26</f>
        <v>0</v>
      </c>
      <c r="M167" s="162">
        <f>'[8]7100'!O26+'[9]7100'!O26+'[10]7100'!O26+'[11]7100'!O26+'[12]7100'!O26</f>
        <v>0</v>
      </c>
      <c r="N167" s="162">
        <f>'[8]7100'!P26+'[9]7100'!P26+'[10]7100'!P26+'[11]7100'!P26+'[12]7100'!P26</f>
        <v>0</v>
      </c>
      <c r="O167" s="162">
        <f>'[8]7100'!Q26+'[9]7100'!Q26+'[10]7100'!Q26+'[11]7100'!Q26+'[12]7100'!Q26</f>
        <v>0</v>
      </c>
      <c r="P167" s="162"/>
      <c r="Q167" s="162">
        <f>'[8]7100'!R26+'[9]7100'!R26+'[10]7100'!R26+'[11]7100'!R26+'[12]7100'!R26</f>
        <v>0</v>
      </c>
      <c r="R167" s="162">
        <f>'[8]7100'!S26+'[9]7100'!S26+'[10]7100'!S26+'[11]7100'!S26+'[12]7100'!S26</f>
        <v>0</v>
      </c>
    </row>
    <row r="168" spans="2:18" hidden="1">
      <c r="B168" s="167" t="s">
        <v>299</v>
      </c>
      <c r="C168" s="162">
        <v>0</v>
      </c>
      <c r="D168" s="162">
        <v>0</v>
      </c>
      <c r="E168" s="162">
        <v>0</v>
      </c>
      <c r="F168" s="162">
        <v>0</v>
      </c>
      <c r="G168" s="162">
        <v>0</v>
      </c>
      <c r="H168" s="162">
        <v>0</v>
      </c>
      <c r="I168" s="162">
        <v>0</v>
      </c>
      <c r="J168" s="162">
        <v>0</v>
      </c>
      <c r="K168" s="162">
        <v>0</v>
      </c>
      <c r="L168" s="162">
        <f>'[8]7100'!N27+'[9]7100'!N27+'[10]7100'!N27+'[11]7100'!N27+'[12]7100'!N27</f>
        <v>0</v>
      </c>
      <c r="M168" s="162">
        <f>'[8]7100'!O27+'[9]7100'!O27+'[10]7100'!O27+'[11]7100'!O27+'[12]7100'!O27</f>
        <v>0</v>
      </c>
      <c r="N168" s="162">
        <f>'[8]7100'!P27+'[9]7100'!P27+'[10]7100'!P27+'[11]7100'!P27+'[12]7100'!P27</f>
        <v>0</v>
      </c>
      <c r="O168" s="162">
        <f>'[8]7100'!Q27+'[9]7100'!Q27+'[10]7100'!Q27+'[11]7100'!Q27+'[12]7100'!Q27</f>
        <v>0</v>
      </c>
      <c r="P168" s="162"/>
      <c r="Q168" s="162">
        <f>'[8]7100'!R27+'[9]7100'!R27+'[10]7100'!R27+'[11]7100'!R27+'[12]7100'!R27</f>
        <v>0</v>
      </c>
      <c r="R168" s="162">
        <f>'[8]7100'!S27+'[9]7100'!S27+'[10]7100'!S27+'[11]7100'!S27+'[12]7100'!S27</f>
        <v>0</v>
      </c>
    </row>
    <row r="169" spans="2:18" ht="13.5" hidden="1" thickBot="1">
      <c r="B169" s="164" t="s">
        <v>403</v>
      </c>
      <c r="C169" s="165">
        <f t="shared" ref="C169:K169" si="13">SUM(C160:C168)</f>
        <v>0</v>
      </c>
      <c r="D169" s="165">
        <f t="shared" si="13"/>
        <v>0</v>
      </c>
      <c r="E169" s="165">
        <f t="shared" si="13"/>
        <v>0</v>
      </c>
      <c r="F169" s="165">
        <f t="shared" si="13"/>
        <v>0</v>
      </c>
      <c r="G169" s="165">
        <f t="shared" si="13"/>
        <v>0</v>
      </c>
      <c r="H169" s="165">
        <f t="shared" si="13"/>
        <v>0</v>
      </c>
      <c r="I169" s="165">
        <f t="shared" si="13"/>
        <v>0</v>
      </c>
      <c r="J169" s="165">
        <f t="shared" si="13"/>
        <v>0</v>
      </c>
      <c r="K169" s="165">
        <f t="shared" si="13"/>
        <v>0</v>
      </c>
    </row>
    <row r="170" spans="2:18" ht="15.75" hidden="1">
      <c r="B170" s="32"/>
      <c r="C170" s="32"/>
      <c r="D170" s="32"/>
      <c r="E170" s="32"/>
      <c r="F170" s="32"/>
      <c r="G170" s="32"/>
      <c r="H170" s="32"/>
      <c r="I170" s="32"/>
    </row>
    <row r="171" spans="2:18" ht="16.5" hidden="1" thickBot="1">
      <c r="B171" s="32"/>
      <c r="C171" s="32"/>
      <c r="D171" s="32"/>
      <c r="E171" s="32"/>
      <c r="F171" s="32"/>
      <c r="G171" s="32"/>
      <c r="H171" s="32"/>
      <c r="I171" s="32"/>
    </row>
    <row r="172" spans="2:18" ht="42.75" hidden="1" customHeight="1">
      <c r="B172" s="181" t="s">
        <v>410</v>
      </c>
      <c r="C172" s="182" t="s">
        <v>371</v>
      </c>
      <c r="D172" s="32"/>
      <c r="E172" s="181" t="s">
        <v>411</v>
      </c>
      <c r="F172" s="182" t="s">
        <v>371</v>
      </c>
      <c r="G172" s="32"/>
      <c r="H172" s="32"/>
      <c r="I172" s="32"/>
    </row>
    <row r="173" spans="2:18" ht="15.75" hidden="1">
      <c r="B173" s="183" t="s">
        <v>372</v>
      </c>
      <c r="C173" s="162">
        <v>0</v>
      </c>
      <c r="D173" s="41"/>
      <c r="E173" s="187" t="s">
        <v>385</v>
      </c>
      <c r="F173" s="162">
        <v>0</v>
      </c>
      <c r="G173" s="41"/>
      <c r="H173" s="41"/>
      <c r="I173" s="41"/>
    </row>
    <row r="174" spans="2:18" hidden="1">
      <c r="B174" s="184" t="s">
        <v>373</v>
      </c>
      <c r="C174" s="162">
        <v>0</v>
      </c>
      <c r="E174" s="188" t="s">
        <v>335</v>
      </c>
      <c r="F174" s="162">
        <v>0</v>
      </c>
    </row>
    <row r="175" spans="2:18" hidden="1">
      <c r="B175" s="184" t="s">
        <v>374</v>
      </c>
      <c r="C175" s="162">
        <v>0</v>
      </c>
      <c r="E175" s="188" t="s">
        <v>337</v>
      </c>
      <c r="F175" s="162">
        <v>0</v>
      </c>
    </row>
    <row r="176" spans="2:18" hidden="1">
      <c r="B176" s="184" t="s">
        <v>375</v>
      </c>
      <c r="C176" s="162">
        <v>0</v>
      </c>
      <c r="E176" s="188" t="s">
        <v>340</v>
      </c>
      <c r="F176" s="162">
        <v>0</v>
      </c>
    </row>
    <row r="177" spans="2:9" hidden="1">
      <c r="B177" s="184" t="s">
        <v>376</v>
      </c>
      <c r="C177" s="162">
        <v>0</v>
      </c>
      <c r="E177" s="184" t="s">
        <v>342</v>
      </c>
      <c r="F177" s="162">
        <v>0</v>
      </c>
    </row>
    <row r="178" spans="2:9" hidden="1">
      <c r="B178" s="184" t="s">
        <v>377</v>
      </c>
      <c r="C178" s="162">
        <v>0</v>
      </c>
      <c r="E178" s="189" t="s">
        <v>345</v>
      </c>
      <c r="F178" s="162">
        <v>0</v>
      </c>
    </row>
    <row r="179" spans="2:9" hidden="1">
      <c r="B179" s="184" t="s">
        <v>378</v>
      </c>
      <c r="C179" s="162">
        <v>0</v>
      </c>
      <c r="E179" s="188" t="s">
        <v>335</v>
      </c>
      <c r="F179" s="162">
        <v>0</v>
      </c>
    </row>
    <row r="180" spans="2:9" hidden="1">
      <c r="B180" s="183" t="s">
        <v>379</v>
      </c>
      <c r="C180" s="162">
        <v>0</v>
      </c>
      <c r="E180" s="188" t="s">
        <v>337</v>
      </c>
      <c r="F180" s="162">
        <v>0</v>
      </c>
    </row>
    <row r="181" spans="2:9" ht="15.75" hidden="1">
      <c r="B181" s="184" t="s">
        <v>373</v>
      </c>
      <c r="C181" s="162">
        <v>0</v>
      </c>
      <c r="D181" s="101"/>
      <c r="E181" s="188" t="s">
        <v>340</v>
      </c>
      <c r="F181" s="162">
        <v>0</v>
      </c>
      <c r="G181" s="101"/>
      <c r="H181" s="101"/>
      <c r="I181" s="101"/>
    </row>
    <row r="182" spans="2:9" hidden="1">
      <c r="B182" s="184" t="s">
        <v>374</v>
      </c>
      <c r="C182" s="162">
        <v>0</v>
      </c>
      <c r="E182" s="184" t="s">
        <v>342</v>
      </c>
      <c r="F182" s="162">
        <v>0</v>
      </c>
    </row>
    <row r="183" spans="2:9" hidden="1">
      <c r="B183" s="184" t="s">
        <v>375</v>
      </c>
      <c r="C183" s="162">
        <v>0</v>
      </c>
      <c r="E183" s="190" t="s">
        <v>386</v>
      </c>
      <c r="F183" s="162">
        <v>0</v>
      </c>
    </row>
    <row r="184" spans="2:9" hidden="1">
      <c r="B184" s="184" t="s">
        <v>376</v>
      </c>
      <c r="C184" s="162">
        <v>0</v>
      </c>
      <c r="E184" s="190" t="s">
        <v>356</v>
      </c>
      <c r="F184" s="162">
        <v>0</v>
      </c>
    </row>
    <row r="185" spans="2:9" ht="16.5" hidden="1" thickBot="1">
      <c r="B185" s="184" t="s">
        <v>380</v>
      </c>
      <c r="C185" s="162">
        <v>0</v>
      </c>
      <c r="D185" s="42"/>
      <c r="E185" s="191" t="s">
        <v>360</v>
      </c>
      <c r="F185" s="162">
        <v>0</v>
      </c>
      <c r="G185" s="42"/>
      <c r="H185" s="42"/>
      <c r="I185" s="42"/>
    </row>
    <row r="186" spans="2:9" ht="15.75" hidden="1">
      <c r="B186" s="183" t="s">
        <v>381</v>
      </c>
      <c r="C186" s="162">
        <v>0</v>
      </c>
      <c r="D186" s="42"/>
      <c r="G186" s="42"/>
      <c r="H186" s="42"/>
      <c r="I186" s="42"/>
    </row>
    <row r="187" spans="2:9" ht="15.75" hidden="1">
      <c r="B187" s="185" t="s">
        <v>382</v>
      </c>
      <c r="C187" s="162">
        <v>0</v>
      </c>
      <c r="D187" s="42"/>
      <c r="G187" s="42"/>
      <c r="H187" s="42"/>
      <c r="I187" s="42"/>
    </row>
    <row r="188" spans="2:9" ht="15.75" hidden="1">
      <c r="B188" s="185" t="s">
        <v>383</v>
      </c>
      <c r="C188" s="162">
        <v>0</v>
      </c>
      <c r="D188" s="42"/>
      <c r="G188" s="42"/>
      <c r="H188" s="42"/>
      <c r="I188" s="42"/>
    </row>
    <row r="189" spans="2:9" ht="16.5" hidden="1" thickBot="1">
      <c r="B189" s="186" t="s">
        <v>384</v>
      </c>
      <c r="C189" s="162">
        <v>0</v>
      </c>
      <c r="D189" s="42"/>
      <c r="G189" s="42"/>
      <c r="H189" s="42"/>
      <c r="I189" s="42"/>
    </row>
    <row r="190" spans="2:9" ht="15.75" hidden="1">
      <c r="D190" s="42"/>
      <c r="E190" s="42"/>
      <c r="F190" s="42"/>
      <c r="G190" s="42"/>
      <c r="H190" s="42"/>
      <c r="I190" s="42"/>
    </row>
    <row r="191" spans="2:9" ht="15.75" hidden="1">
      <c r="D191" s="42"/>
      <c r="E191" s="42"/>
      <c r="F191" s="42"/>
      <c r="G191" s="42"/>
      <c r="H191" s="42"/>
      <c r="I191" s="42"/>
    </row>
    <row r="192" spans="2:9" ht="15.75">
      <c r="D192" s="42"/>
      <c r="E192" s="42"/>
      <c r="F192" s="42"/>
      <c r="G192" s="42"/>
      <c r="H192" s="42"/>
      <c r="I192" s="42"/>
    </row>
    <row r="193" spans="4:9" ht="15.75">
      <c r="D193" s="42"/>
      <c r="E193" s="42"/>
      <c r="F193" s="42"/>
      <c r="G193" s="42"/>
      <c r="H193" s="42"/>
      <c r="I193" s="42"/>
    </row>
    <row r="194" spans="4:9" ht="15.75">
      <c r="D194" s="42"/>
      <c r="E194" s="42"/>
      <c r="F194" s="42"/>
      <c r="G194" s="42"/>
      <c r="H194" s="42"/>
      <c r="I194" s="42"/>
    </row>
    <row r="195" spans="4:9" ht="15.75">
      <c r="D195" s="42"/>
      <c r="E195" s="42"/>
      <c r="F195" s="42"/>
      <c r="G195" s="42"/>
      <c r="H195" s="42"/>
      <c r="I195" s="42"/>
    </row>
    <row r="196" spans="4:9" ht="15.75">
      <c r="D196" s="42"/>
      <c r="E196" s="42"/>
      <c r="F196" s="42"/>
      <c r="G196" s="42"/>
      <c r="H196" s="42"/>
      <c r="I196" s="42"/>
    </row>
    <row r="197" spans="4:9" ht="15.75">
      <c r="D197" s="42"/>
      <c r="E197" s="42"/>
      <c r="F197" s="42"/>
      <c r="G197" s="42"/>
      <c r="H197" s="42"/>
      <c r="I197" s="42"/>
    </row>
    <row r="198" spans="4:9" ht="15.75">
      <c r="D198" s="42"/>
      <c r="E198" s="42"/>
      <c r="F198" s="42"/>
      <c r="G198" s="42"/>
      <c r="H198" s="42"/>
      <c r="I198" s="42"/>
    </row>
    <row r="199" spans="4:9" ht="15.75">
      <c r="D199" s="42"/>
      <c r="E199" s="42"/>
      <c r="F199" s="42"/>
      <c r="G199" s="42"/>
      <c r="H199" s="42"/>
      <c r="I199" s="42"/>
    </row>
    <row r="200" spans="4:9" ht="15.75">
      <c r="D200" s="42"/>
      <c r="E200" s="42"/>
      <c r="F200" s="42"/>
      <c r="G200" s="42"/>
      <c r="H200" s="42"/>
      <c r="I200" s="42"/>
    </row>
    <row r="201" spans="4:9" ht="15.75">
      <c r="D201" s="42"/>
      <c r="E201" s="42"/>
      <c r="F201" s="42"/>
      <c r="G201" s="42"/>
      <c r="H201" s="42"/>
      <c r="I201" s="42"/>
    </row>
    <row r="202" spans="4:9" ht="15.75">
      <c r="D202" s="42"/>
      <c r="E202" s="42"/>
      <c r="F202" s="42"/>
      <c r="G202" s="42"/>
      <c r="H202" s="42"/>
      <c r="I202" s="42"/>
    </row>
    <row r="203" spans="4:9" ht="15.75">
      <c r="D203" s="42"/>
      <c r="E203" s="42"/>
      <c r="F203" s="42"/>
      <c r="G203" s="42"/>
      <c r="H203" s="42"/>
      <c r="I203" s="42"/>
    </row>
    <row r="204" spans="4:9" ht="15.75">
      <c r="D204" s="42"/>
      <c r="E204" s="42"/>
      <c r="F204" s="42"/>
      <c r="G204" s="42"/>
      <c r="H204" s="42"/>
      <c r="I204" s="42"/>
    </row>
  </sheetData>
  <mergeCells count="53">
    <mergeCell ref="I157:I158"/>
    <mergeCell ref="J157:J158"/>
    <mergeCell ref="K157:K158"/>
    <mergeCell ref="D157:D158"/>
    <mergeCell ref="E157:E158"/>
    <mergeCell ref="F157:F158"/>
    <mergeCell ref="G157:G158"/>
    <mergeCell ref="K108:K109"/>
    <mergeCell ref="B143:B145"/>
    <mergeCell ref="C143:C144"/>
    <mergeCell ref="D143:D144"/>
    <mergeCell ref="E143:E144"/>
    <mergeCell ref="F143:F144"/>
    <mergeCell ref="G143:G144"/>
    <mergeCell ref="G108:G109"/>
    <mergeCell ref="H108:H109"/>
    <mergeCell ref="I108:I109"/>
    <mergeCell ref="J108:J109"/>
    <mergeCell ref="F108:F109"/>
    <mergeCell ref="D108:D109"/>
    <mergeCell ref="E108:E109"/>
    <mergeCell ref="B157:B159"/>
    <mergeCell ref="C157:C158"/>
    <mergeCell ref="B108:B110"/>
    <mergeCell ref="C108:C109"/>
    <mergeCell ref="E54:G54"/>
    <mergeCell ref="A87:C87"/>
    <mergeCell ref="E87:H87"/>
    <mergeCell ref="A72:B72"/>
    <mergeCell ref="A67:B67"/>
    <mergeCell ref="G94:G95"/>
    <mergeCell ref="H157:H158"/>
    <mergeCell ref="B94:B96"/>
    <mergeCell ref="C94:C95"/>
    <mergeCell ref="D94:D95"/>
    <mergeCell ref="E94:E95"/>
    <mergeCell ref="F94:F95"/>
    <mergeCell ref="E49:G49"/>
    <mergeCell ref="E51:G51"/>
    <mergeCell ref="E52:G52"/>
    <mergeCell ref="E53:G53"/>
    <mergeCell ref="E44:F44"/>
    <mergeCell ref="E46:G46"/>
    <mergeCell ref="E47:G47"/>
    <mergeCell ref="E48:G48"/>
    <mergeCell ref="A77:B77"/>
    <mergeCell ref="A27:B27"/>
    <mergeCell ref="A37:B37"/>
    <mergeCell ref="A44:B44"/>
    <mergeCell ref="A12:B12"/>
    <mergeCell ref="A13:B13"/>
    <mergeCell ref="A22:B22"/>
    <mergeCell ref="A26:B26"/>
  </mergeCells>
  <phoneticPr fontId="0" type="noConversion"/>
  <printOptions horizontalCentered="1"/>
  <pageMargins left="0.31496062992125984" right="0.31496062992125984" top="0.59055118110236227" bottom="0.59055118110236227" header="0" footer="0"/>
  <pageSetup paperSize="9" scale="4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
  <sheetViews>
    <sheetView zoomScale="75" workbookViewId="0">
      <selection sqref="A1:A2"/>
    </sheetView>
  </sheetViews>
  <sheetFormatPr baseColWidth="10" defaultColWidth="11.42578125" defaultRowHeight="12.75"/>
  <cols>
    <col min="1" max="1" width="67.7109375" style="2" customWidth="1"/>
    <col min="2" max="2" width="65.140625" style="2" customWidth="1"/>
    <col min="3" max="3" width="9.7109375" style="2" customWidth="1"/>
    <col min="4" max="4" width="21.28515625" style="2" customWidth="1"/>
    <col min="5" max="16384" width="11.42578125" style="2"/>
  </cols>
  <sheetData>
    <row r="1" spans="1:4" ht="60" customHeight="1">
      <c r="A1" s="5"/>
      <c r="B1" s="7" t="str">
        <f>"EJERCICIO    "&amp;Balance!N1</f>
        <v>EJERCICIO    2016</v>
      </c>
      <c r="C1" s="8"/>
    </row>
    <row r="2" spans="1:4" ht="12.95" customHeight="1" thickBot="1">
      <c r="A2" s="5"/>
      <c r="B2" s="6"/>
      <c r="C2" s="8"/>
    </row>
    <row r="3" spans="1:4" ht="33" customHeight="1">
      <c r="A3" s="70" t="str">
        <f>"                       "&amp;"LES CORTS Y RESTO DE INSTITUCIONES DE LA GENERALITAT"</f>
        <v xml:space="preserve">                       LES CORTS Y RESTO DE INSTITUCIONES DE LA GENERALITAT</v>
      </c>
      <c r="B3" s="10"/>
      <c r="C3" s="8"/>
    </row>
    <row r="4" spans="1:4" ht="20.100000000000001" customHeight="1">
      <c r="A4" s="14" t="str">
        <f>"AGREGADO"</f>
        <v>AGREGADO</v>
      </c>
      <c r="B4" s="74"/>
      <c r="C4" s="8"/>
      <c r="D4" s="89"/>
    </row>
    <row r="5" spans="1:4" ht="18" customHeight="1" thickBot="1">
      <c r="A5" s="18"/>
      <c r="B5" s="44"/>
      <c r="C5" s="8"/>
    </row>
    <row r="6" spans="1:4" ht="15" customHeight="1">
      <c r="A6" s="91"/>
      <c r="B6" s="92"/>
      <c r="C6" s="8"/>
      <c r="D6" s="92"/>
    </row>
    <row r="7" spans="1:4" ht="12.95" customHeight="1">
      <c r="A7" s="95"/>
      <c r="B7" s="95"/>
      <c r="C7" s="8"/>
      <c r="D7" s="95"/>
    </row>
    <row r="8" spans="1:4" ht="20.25">
      <c r="A8" s="97" t="s">
        <v>45</v>
      </c>
      <c r="B8" s="32"/>
      <c r="C8" s="8"/>
      <c r="D8" s="32"/>
    </row>
    <row r="9" spans="1:4" ht="21" customHeight="1">
      <c r="C9" s="8"/>
    </row>
    <row r="10" spans="1:4" ht="12.95" customHeight="1">
      <c r="C10" s="8"/>
    </row>
    <row r="11" spans="1:4" ht="12.95" customHeight="1" thickBot="1">
      <c r="C11" s="8"/>
    </row>
    <row r="12" spans="1:4" ht="18.95" customHeight="1">
      <c r="A12" s="104" t="s">
        <v>50</v>
      </c>
      <c r="B12" s="104"/>
      <c r="C12" s="8"/>
    </row>
    <row r="13" spans="1:4" ht="12.95" customHeight="1">
      <c r="C13" s="8"/>
    </row>
    <row r="14" spans="1:4" ht="18" customHeight="1">
      <c r="A14" s="1" t="s">
        <v>0</v>
      </c>
    </row>
    <row r="15" spans="1:4" ht="18" customHeight="1">
      <c r="A15" s="1" t="s">
        <v>1</v>
      </c>
    </row>
    <row r="16" spans="1:4" ht="18" customHeight="1">
      <c r="A16" s="1" t="s">
        <v>2</v>
      </c>
    </row>
    <row r="17" spans="1:1" ht="18" customHeight="1">
      <c r="A17" s="1" t="s">
        <v>3</v>
      </c>
    </row>
    <row r="18" spans="1:1" ht="18" customHeight="1">
      <c r="A18" s="1" t="s">
        <v>484</v>
      </c>
    </row>
    <row r="19" spans="1:1" ht="18" customHeight="1">
      <c r="A19" s="1" t="s">
        <v>4</v>
      </c>
    </row>
    <row r="20" spans="1:1" ht="18" customHeight="1">
      <c r="A20" s="1" t="s">
        <v>5</v>
      </c>
    </row>
    <row r="21" spans="1:1" ht="18" customHeight="1">
      <c r="A21" s="1"/>
    </row>
    <row r="22" spans="1:1" ht="18" customHeight="1">
      <c r="A22" s="1"/>
    </row>
    <row r="23" spans="1:1" ht="18" customHeight="1">
      <c r="A23" s="1"/>
    </row>
    <row r="24" spans="1:1" ht="18" customHeight="1">
      <c r="A24" s="1"/>
    </row>
    <row r="25" spans="1:1" ht="18" customHeight="1">
      <c r="A25" s="1"/>
    </row>
    <row r="26" spans="1:1" ht="18" customHeight="1">
      <c r="A26" s="1"/>
    </row>
    <row r="27" spans="1:1" ht="18" customHeight="1">
      <c r="A27" s="1"/>
    </row>
    <row r="28" spans="1:1" ht="18" customHeight="1">
      <c r="A28" s="1"/>
    </row>
    <row r="29" spans="1:1" ht="18" customHeight="1">
      <c r="A29" s="1"/>
    </row>
    <row r="30" spans="1:1" ht="18" customHeight="1">
      <c r="A30" s="1"/>
    </row>
    <row r="31" spans="1:1" ht="18" customHeight="1">
      <c r="A31" s="1"/>
    </row>
    <row r="32" spans="1:1"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1:3" ht="18" customHeight="1">
      <c r="A97" s="1"/>
    </row>
    <row r="98" spans="1:3" ht="18" customHeight="1">
      <c r="A98" s="1"/>
    </row>
    <row r="99" spans="1:3" ht="18" customHeight="1">
      <c r="A99" s="1"/>
    </row>
    <row r="100" spans="1:3" ht="18" customHeight="1">
      <c r="A100" s="1"/>
    </row>
    <row r="101" spans="1:3" ht="18" customHeight="1">
      <c r="A101" s="1"/>
    </row>
    <row r="102" spans="1:3" ht="18" customHeight="1">
      <c r="A102" s="1"/>
    </row>
    <row r="103" spans="1:3" ht="18" customHeight="1">
      <c r="A103" s="1"/>
    </row>
    <row r="104" spans="1:3" ht="18" customHeight="1">
      <c r="A104" s="1"/>
    </row>
    <row r="105" spans="1:3" ht="18" customHeight="1">
      <c r="A105" s="1"/>
    </row>
    <row r="109" spans="1:3">
      <c r="B109" s="3"/>
      <c r="C109" s="3"/>
    </row>
    <row r="110" spans="1:3">
      <c r="B110" s="3"/>
      <c r="C110" s="3"/>
    </row>
    <row r="111" spans="1:3">
      <c r="B111" s="3"/>
      <c r="C111" s="3"/>
    </row>
    <row r="112" spans="1:3">
      <c r="B112" s="3"/>
      <c r="C112" s="3"/>
    </row>
  </sheetData>
  <phoneticPr fontId="1" type="noConversion"/>
  <printOptions horizontalCentered="1"/>
  <pageMargins left="0.31496062992125984" right="0.31496062992125984" top="0.59055118110236227" bottom="0.59055118110236227" header="0" footer="0"/>
  <pageSetup paperSize="9" scale="7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Información</vt:lpstr>
      <vt:lpstr>Balance</vt:lpstr>
      <vt:lpstr>Cuenta</vt:lpstr>
      <vt:lpstr>Liquidación del presupuesto</vt:lpstr>
      <vt:lpstr>Memoria</vt:lpstr>
      <vt:lpstr>Entidades agregadas</vt:lpstr>
      <vt:lpstr>Balance!Área_de_impresión</vt:lpstr>
      <vt:lpstr>Cuenta!Área_de_impresión</vt:lpstr>
      <vt:lpstr>'Entidades agregadas'!Área_de_impresión</vt:lpstr>
      <vt:lpstr>Información!Área_de_impresión</vt:lpstr>
      <vt:lpstr>'Liquidación del presupuesto'!Área_de_impresión</vt:lpstr>
      <vt:lpstr>Memoria!Área_de_impresión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jamartinez</cp:lastModifiedBy>
  <cp:lastPrinted>2018-06-14T12:04:04Z</cp:lastPrinted>
  <dcterms:created xsi:type="dcterms:W3CDTF">2010-12-21T11:30:58Z</dcterms:created>
  <dcterms:modified xsi:type="dcterms:W3CDTF">2018-06-14T12:04:13Z</dcterms:modified>
</cp:coreProperties>
</file>