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840" yWindow="420" windowWidth="13875" windowHeight="7905" tabRatio="887" firstSheet="1" activeTab="1"/>
  </bookViews>
  <sheets>
    <sheet name="Acerno_Cache_XXXXX" sheetId="11" state="veryHidden" r:id="rId1"/>
    <sheet name="Información" sheetId="8" r:id="rId2"/>
    <sheet name="Balance" sheetId="6" r:id="rId3"/>
    <sheet name="Cuenta" sheetId="7" r:id="rId4"/>
    <sheet name="Memoria" sheetId="9" r:id="rId5"/>
    <sheet name="Entidades agregadas" sheetId="5" r:id="rId6"/>
    <sheet name="Entidades no agregadas" sheetId="10"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2">'Balance'!$A$1:$AF$62</definedName>
    <definedName name="_xlnm.Print_Area" localSheetId="3">'Cuenta'!$A$1:$AF$71</definedName>
    <definedName name="_xlnm.Print_Area" localSheetId="5">'Entidades agregadas'!$A$1:$C$63</definedName>
    <definedName name="_xlnm.Print_Area" localSheetId="6">'Entidades no agregadas'!$A$1:$C$21</definedName>
    <definedName name="_xlnm.Print_Area" localSheetId="1">'Información'!$A$1:$B$57</definedName>
    <definedName name="_xlnm.Print_Area" localSheetId="4">'Memoria'!$A$1:$D$22</definedName>
    <definedName name="tm_1006633539">#REF!</definedName>
    <definedName name="tm_603982494">#REF!</definedName>
    <definedName name="tm_671088875">#REF!</definedName>
    <definedName name="tm_805306395">#REF!</definedName>
    <definedName name="tm_805306397">#REF!</definedName>
    <definedName name="_xlnm.Print_Titles" localSheetId="5">'Entidades agregadas'!$1:$10</definedName>
    <definedName name="_xlnm.Print_Titles" localSheetId="6">'Entidades no agregadas'!$1:$10</definedName>
  </definedNames>
  <calcPr calcId="152511"/>
</workbook>
</file>

<file path=xl/sharedStrings.xml><?xml version="1.0" encoding="utf-8"?>
<sst xmlns="http://schemas.openxmlformats.org/spreadsheetml/2006/main" count="420" uniqueCount="217">
  <si>
    <t>Instituto Valenciano de la Juventud</t>
  </si>
  <si>
    <t>Instituto Valenciano de Investigaciones Agrarias</t>
  </si>
  <si>
    <t>Universitat de València</t>
  </si>
  <si>
    <t>Universidad Politécnica de Valencia</t>
  </si>
  <si>
    <t>Universidad de Alicante</t>
  </si>
  <si>
    <t>Universitat Jaume I</t>
  </si>
  <si>
    <t>Instituto de la Pequeña y Mediana Industria de la Generalitat Valenciana</t>
  </si>
  <si>
    <t>Ente Público Radiotelevisión Valenciana</t>
  </si>
  <si>
    <t>Ferrocarrils de la Generalitat Valenciana</t>
  </si>
  <si>
    <t>Instituto Valenciano de Arte Moderno</t>
  </si>
  <si>
    <t>Teatres de la Generalitat Valenciana</t>
  </si>
  <si>
    <t>Agència Valenciana del Turisme</t>
  </si>
  <si>
    <t>Entidad Pública de Saneamiento de Aguas Residuales de la Comunitat Valenciana</t>
  </si>
  <si>
    <t>Instituto Valenciano de Finanzas</t>
  </si>
  <si>
    <t>Seguridad y Promoción Industrial Valenciana, S.A.</t>
  </si>
  <si>
    <t>Instituto Valenciano de Vivienda, S.A.</t>
  </si>
  <si>
    <t>Radio Autonomía Valenciana, S.A.</t>
  </si>
  <si>
    <t>Televisión Autonómica Valenciana, S.A.</t>
  </si>
  <si>
    <t>IV. Reservas</t>
  </si>
  <si>
    <t>II. Existencias</t>
  </si>
  <si>
    <t>VI. Beneficiarios acreedores (fundaciones)</t>
  </si>
  <si>
    <t>VII. Acreedores recurso cameral (cámaras)</t>
  </si>
  <si>
    <t>3. Importe neto de la cifra de negocios</t>
  </si>
  <si>
    <t>5. Ingresos de la entidad por la actividad propia (fundaciones)</t>
  </si>
  <si>
    <t>X110</t>
  </si>
  <si>
    <t>Grupo RTVV</t>
  </si>
  <si>
    <t>ESTADOS DEL GRUPO RTVV, formado por:</t>
  </si>
  <si>
    <t>(1) No se incluyen los estados individuales de las entidades que forman</t>
  </si>
  <si>
    <t>estados consolidados</t>
  </si>
  <si>
    <t>EJERCICIO</t>
  </si>
  <si>
    <t>Importes en euros</t>
  </si>
  <si>
    <t>ACTIVO</t>
  </si>
  <si>
    <t>%</t>
  </si>
  <si>
    <t>2. Transferencias y subvenciones recibidas   (a+b)</t>
  </si>
  <si>
    <t>BALANCE AGREGADO</t>
  </si>
  <si>
    <t>CONCEPTOS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</si>
  <si>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</si>
  <si>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</si>
  <si>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</si>
  <si>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</si>
  <si>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</si>
  <si>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</si>
  <si>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</si>
  <si>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</si>
  <si>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</si>
  <si>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</si>
  <si>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</si>
  <si>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</si>
  <si>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</si>
  <si>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</si>
  <si>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</si>
  <si>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</si>
  <si>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AGREGADO</t>
  </si>
  <si>
    <t>CUENTA DE PÉRDIDAS Y GANANCIAS AGREGADA</t>
  </si>
  <si>
    <t>A.3) RESULTADO (AHORRO/DESAHORRO) DE LA GESTIÓN ORDINARIA (A.1+A.2)</t>
  </si>
  <si>
    <t>INFORMACIÓN GENERAL</t>
  </si>
  <si>
    <t>Sector</t>
  </si>
  <si>
    <t>Subsector</t>
  </si>
  <si>
    <t>INFORMACIÓN CONTABLE</t>
  </si>
  <si>
    <t>Régimen presupuestario</t>
  </si>
  <si>
    <t>PGC</t>
  </si>
  <si>
    <t>Limitativo  (subsector administrativo) y estimativo (resto subsectores)</t>
  </si>
  <si>
    <t>MODELIZACIÓN</t>
  </si>
  <si>
    <t>OBSERVACIONES</t>
  </si>
  <si>
    <t>Número medio de empleados*</t>
  </si>
  <si>
    <t>ENTIDADES AGREGADAS</t>
  </si>
  <si>
    <t>ESTADOS INDIVIDUALES (1)</t>
  </si>
  <si>
    <t>ESTADOS CONSOLIDADOS</t>
  </si>
  <si>
    <t>OTRA INFORMACIÓN AGREGADA</t>
  </si>
  <si>
    <t>Tipos de entidad</t>
  </si>
  <si>
    <t>III. Prima de emisión</t>
  </si>
  <si>
    <t>EMPLEADOS</t>
  </si>
  <si>
    <t>AVALES</t>
  </si>
  <si>
    <t>6. Variación de existencias de productos terminados y en curso de fabricación</t>
  </si>
  <si>
    <t>Número de entidades agregadas</t>
  </si>
  <si>
    <t>ENTIDADES SIN ACTIVIDAD</t>
  </si>
  <si>
    <t>ENTIDADES NO AGREGADAS POR FALTA DE RENDICIÓN DE CUENTAS</t>
  </si>
  <si>
    <t>Número de entidades no agregadas</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</si>
  <si>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</si>
  <si>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</si>
  <si>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</si>
  <si>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</si>
  <si>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</si>
  <si>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</si>
  <si>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</si>
  <si>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</si>
  <si>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</si>
  <si>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</si>
  <si>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</si>
  <si>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Importe neto de la cifra de neg. sobre IGOR</t>
  </si>
  <si>
    <t>5. Resto de IGOR sobre IGOR</t>
  </si>
  <si>
    <t>6. Gastos de personal sobre GGOR</t>
  </si>
  <si>
    <t>7. Transferencias y subvenciones sobre GGOR</t>
  </si>
  <si>
    <t>9. Aprovisionamientos sobre GGOR</t>
  </si>
  <si>
    <t>10. Resto de GGOR sobre GGOR</t>
  </si>
  <si>
    <t>ENTIDADES CON ACTIVIDAD</t>
  </si>
  <si>
    <t>Valenciana de Aprovechamiento Energético de Residuos, S.A.</t>
  </si>
  <si>
    <t>X201</t>
  </si>
  <si>
    <t>X291</t>
  </si>
  <si>
    <t>1. Ingresos tributarios (subsector administrativo)</t>
  </si>
  <si>
    <t xml:space="preserve"> a) Transferencias y subvenciones corrientes (subsector administrativo)</t>
  </si>
  <si>
    <t xml:space="preserve"> b) Transferencias y subvenciones de capital (subsector administrativo)</t>
  </si>
  <si>
    <t xml:space="preserve">4. Ventas y prestaciones de servicios (subsector administrativo) </t>
  </si>
  <si>
    <t>A) POR TODAS LAS OPERACIONES</t>
  </si>
  <si>
    <t>A) ACCIO. (SOCIOS) / FUNDA. (ASOCIA.) POR DESEMB. NO EXIGIDOS</t>
  </si>
  <si>
    <t>B) INMOVILIZADO</t>
  </si>
  <si>
    <t>I.Gastos de establecimiento</t>
  </si>
  <si>
    <t>II. Inversiones destinadas al uso general</t>
  </si>
  <si>
    <t>III. Inmovilizaciones inmateriales</t>
  </si>
  <si>
    <t>IV. Inmovilizaciones materiales / bienes del patrimonio histórico</t>
  </si>
  <si>
    <t>V. Inmovilizaciones financieras / inver. finan. perman. / inversiones gestionadas</t>
  </si>
  <si>
    <t>VII. Acciones propias / acciones de la sociedad dominante</t>
  </si>
  <si>
    <t>VI. Deudores por operaciones de tráfico a largo plazo</t>
  </si>
  <si>
    <t>C) FONDO DE COMERCIO DE CONSOLIDACIÓN</t>
  </si>
  <si>
    <t>D) GASTOS A DISTRIBUIR EN VARIOS EJERCICIOS</t>
  </si>
  <si>
    <t>E) ACTIVO CIRCULANTE</t>
  </si>
  <si>
    <t>I. Acionistas / fundadores / asociados por desembolsos no exigidos</t>
  </si>
  <si>
    <t>III. Usuarios y otros deud. de la activi. propia (subsector fundacional)</t>
  </si>
  <si>
    <t>V. Deudores</t>
  </si>
  <si>
    <t>VI. Inversiones financieras temporales</t>
  </si>
  <si>
    <t>VII. Ajustes por periodificación</t>
  </si>
  <si>
    <t>VIII. Tesorería</t>
  </si>
  <si>
    <t>IX. Acciones propias / de la sociedad dominante a corto plazo</t>
  </si>
  <si>
    <t>IV. Deudores por recurso cameral permanente (subsector empresarial cameral)</t>
  </si>
  <si>
    <t>A) FONDOS PROPIOS</t>
  </si>
  <si>
    <t>II Capital suscrito</t>
  </si>
  <si>
    <t>V. Resultados de ejercicios anteriores</t>
  </si>
  <si>
    <t>VI. Resultados del ejercicio (beneficio o pérdida)</t>
  </si>
  <si>
    <t>VI. bis Aportaciones de socios para compensación de pérdidas</t>
  </si>
  <si>
    <t>VII. Dividendo a cuenta entreg. en el ejerc. / accion. propias para reducci. de capital</t>
  </si>
  <si>
    <t>B) SOCIOS EXTERNOS</t>
  </si>
  <si>
    <t>C) DIFERENCIA NEGATIVA DE CONSOLIDACIÓN</t>
  </si>
  <si>
    <t>D) INGRESOS A DISTRIBUIR EN VARIOS EJERCICIOS</t>
  </si>
  <si>
    <t>E) PROVISIONES PARA RIESGOS Y GASTOS</t>
  </si>
  <si>
    <t>F) ACREEDORES A LARGO PLAZO</t>
  </si>
  <si>
    <t>I. Emisiones de obligaciones y otros valores negociables</t>
  </si>
  <si>
    <t>II. Deudas con entidades de crédito</t>
  </si>
  <si>
    <t>IV. Otros acreedores</t>
  </si>
  <si>
    <t>V. Desembolsos pendientes sobre acciones no exigidos</t>
  </si>
  <si>
    <t>VI. Acreedores por operaciones de tráfico a largo plazo</t>
  </si>
  <si>
    <t>G) ACREEDORES A CORTO PLAZO</t>
  </si>
  <si>
    <t>III. Deudas con entidades / cámaras del grupo y asociadas a corto plazo</t>
  </si>
  <si>
    <t>IV. Acreedores presupues. y no presupues. / acreedores comerciales</t>
  </si>
  <si>
    <t>V. Otras deudas no comerciales</t>
  </si>
  <si>
    <t>VIII. Provisiones para operaciones de tráfico / actividad</t>
  </si>
  <si>
    <t>IX. Ajustes por periodificación</t>
  </si>
  <si>
    <t>H) PROVISIONES PARA RIEGOS Y GASTOS A CORTO PLAZO</t>
  </si>
  <si>
    <t>PASIVO</t>
  </si>
  <si>
    <t>TOTAL ACTIVO (A + B + C + D + E)</t>
  </si>
  <si>
    <t>III. Deudas con entidades / cámaras del grupo y asociadas a largo plazo</t>
  </si>
  <si>
    <t>VIII. Resto partidas cuentas consolidadas</t>
  </si>
  <si>
    <t>I. Patrimo. (subsec. admi. y empr. cam.) / Dota. funda. o fondo social (fundaciones)</t>
  </si>
  <si>
    <t>9. Ventas y otros ingresos ordinarios de la actividad mercantil (fundaciones)</t>
  </si>
  <si>
    <t>11. Transferencias y subvenciones entregadas   (a+b)</t>
  </si>
  <si>
    <t>12. Aprovisionamientos / consumos de explotación y otros gastos externos</t>
  </si>
  <si>
    <t>13. Variación de las provisiones de tráfico / actividad</t>
  </si>
  <si>
    <t>14. Otros gastos de explotación / gestión</t>
  </si>
  <si>
    <t>15. Amortización del inmovilizado</t>
  </si>
  <si>
    <t>16. Ayudas monetarias y otros (fundaciones)</t>
  </si>
  <si>
    <t>A.2) GASTOS DE GESTIÓN ORDINARIA   (10+11+12+13+14+15+16)</t>
  </si>
  <si>
    <t>17.  Subvenciones de capital / donaciones y legados transferidas al resultado del ejercicio</t>
  </si>
  <si>
    <t>18. Ingresos extraordinarios, e ingresos y beneficios de otros ejercicios</t>
  </si>
  <si>
    <t>19. Gastos extraordinarios, y gastos y pérdidas de otros ejercicios</t>
  </si>
  <si>
    <t>20. Pérd. y benef. proced. del inmovil. material, inmat. y carte. de control / enajena. de parti. (consol.)</t>
  </si>
  <si>
    <t>21. Variación de las provisiones de inmovilizado inmaterial, material y cartera de control</t>
  </si>
  <si>
    <t>22. Pérdi. y benef. con acc. y obl. propi. / Amortiz. fondo comerci. y rever. dif. neg. consol. (ctas. Consol.)</t>
  </si>
  <si>
    <t>22.bis. Cuotas voluntarias (subsector cameral)</t>
  </si>
  <si>
    <t>A.4) RESULTADO DE LAS OPERACIONES NO FINANCIERAS (A.3+17+18+19+20+21+22+22bis)</t>
  </si>
  <si>
    <t>23. Ingresos de particip. en capital, ingresos de otros valores nego.</t>
  </si>
  <si>
    <t>24. Ingresos financieros y otros intereses e ingresos asimilados</t>
  </si>
  <si>
    <t>25. Gastos financieros y asimilables (subsector administrativo)</t>
  </si>
  <si>
    <t>26. Gastos financieros y asimilados (resto subsectores)</t>
  </si>
  <si>
    <t>27. Variación de las provisiones de inversiones financieras (subsector administrativo)</t>
  </si>
  <si>
    <t>28. Variación de las provisiones de inversiones financieras (resto subsectores)</t>
  </si>
  <si>
    <t>29. Diferencias de cambio netas</t>
  </si>
  <si>
    <t>30. Pérdidas y beneficios de invers. finan. tempo. y rdos. netos de conver. (cuentas consolidadas)</t>
  </si>
  <si>
    <t>A.5) RESULTADO DE LAS OPERACIONES FINANCIERAS (23+24+25+26+27+28+29+30)</t>
  </si>
  <si>
    <t>31. Resultados participación en sociedades puestas en equivalencia</t>
  </si>
  <si>
    <t>A.6) RESULTADO (AHORRO/DESAHORRO) ANTES DE IMPUESTOS (A.4+A.5+31)</t>
  </si>
  <si>
    <t>32. Impuesto sobre beneficios y otros impuestos</t>
  </si>
  <si>
    <t>A.7) RESULTADO DEL EJERCICIO POR TODAS LAS OPERACIONES (A.6+32)</t>
  </si>
  <si>
    <t>33. Resultado atribuido a socios externos</t>
  </si>
  <si>
    <t>A.8) RESULTADO DEL EJERCICIO (A.7+33)</t>
  </si>
  <si>
    <t xml:space="preserve">(a) Incluye en el denominador: la agrupación A.2) y los epífgrafes 19., 25, y 26. de la cuenta de pérdidas y ganancias y en el numerador: todos los epígrafes de la agrupación G) Acreedores a corto </t>
  </si>
  <si>
    <t>TOTAL PASIVO (A + B + C + D + E + F + G + H)</t>
  </si>
  <si>
    <t>(b) Incluye en el denominador: las partidas 10, 11, 12, 14 y 16 de los gastos de gestión ordinaria, y en el numerador: Los epígrafes III a VII y el IX, de G) Acreedores a corto plazo.</t>
  </si>
  <si>
    <t xml:space="preserve">plazo, salvo su epígrafe VIII Provisiones para operaciones de tráfico. </t>
  </si>
  <si>
    <t>8. Otros gastos de explotación sobre GGOR</t>
  </si>
  <si>
    <t>Instrumental</t>
  </si>
  <si>
    <t>Los estados presentados no son consolidados. En consecuencia, no han sido eliminadas las operaciones entre las entidades, lo que provoca que las cifras pudieran no ser representativas en determinadas agrupaciones, epígrafes o partidas. En la Comunitat Valenciana no existe una norma que obligue a la consolidación de las cuentas de su sector instrumental. La relación de entidades agregadas figura en la hoja del libro "Entidades agregadas". Las hojas del libro que presentan estados, incluyen la información individual de cada entidad, en columnas ocultas que pueden visualizarse.</t>
  </si>
  <si>
    <t>Avales prestados por la Generalitat al Sector instrumental</t>
  </si>
  <si>
    <r>
      <t>FUENTE</t>
    </r>
    <r>
      <rPr>
        <sz val="12"/>
        <rFont val="Times New Roman"/>
        <family val="1"/>
      </rPr>
      <t>: Elaboración propia a partir de las cuentas rendidas.</t>
    </r>
  </si>
  <si>
    <t>X211A</t>
  </si>
  <si>
    <t>Entidades autónomas, universidades, entidades de derecho público y sociedades mercantiles</t>
  </si>
  <si>
    <t>Sólo se presentan aquellos estados que son obligatorios para todas las entidades agregadas y determinada información de la memoria. Los formatos del balance y de la cuenta han sido adaptados para recoger coherentemente dos planes de contabilidad dispares. El formato de la cuenta sigue una estructura análoga a la presentada en el PGC público 2010 del sector administrativo estatal. No incluye las fundaciones públicas, cuya obligación de rendición comienza en el ejercicio 2001.</t>
  </si>
  <si>
    <t>Administrativo (salvo el sector Generalitat) + Empresarial</t>
  </si>
  <si>
    <t>Gestión del Suelo de Alicante, S.A.</t>
  </si>
  <si>
    <t>Valencia Fomento Empresarial Sociedad de Capital Riesgo, S.A.</t>
  </si>
  <si>
    <t>parte de alguno de los dos grupo anteriores, al haberse agregado sus</t>
  </si>
  <si>
    <t>Instituto Valenciano de Investiaciones Económicas S.A.</t>
  </si>
  <si>
    <t>X111</t>
  </si>
  <si>
    <t>7. Otros ingresos de explotación / gestión (incluye reintegros y trabajos realizados para la entidad)</t>
  </si>
  <si>
    <t>10. Gastos de personal y prestaciones sociales</t>
  </si>
  <si>
    <t>A.1) INGRESOS DE GESTIÓN ORDINARIA   (1+2+3+4+5+6+7+9)</t>
  </si>
  <si>
    <t>Reciclados de Residuos La Plana, S.A.</t>
  </si>
  <si>
    <t>Consorcio Valenciano de Cooperativas con Sección de Crédito</t>
  </si>
  <si>
    <t xml:space="preserve">PGC público 1994 y PGC estatal adaptado de 1981 (subsector administrativo) y </t>
  </si>
  <si>
    <t>PGC privado 1990 (resto de subsectores)</t>
  </si>
  <si>
    <t>X211</t>
  </si>
  <si>
    <t>X290</t>
  </si>
  <si>
    <t>Reciclatge de Residus L`Alcoià, El Comtat i la Foia de Castalla, S.A.</t>
  </si>
  <si>
    <t>Nova Gestió Urbana, S.A.</t>
  </si>
  <si>
    <t>Promociones de la Comunidad Valenciana, S.A.</t>
  </si>
  <si>
    <t>València, Ciència i Comunicacions, S.A.</t>
  </si>
  <si>
    <t>X112</t>
  </si>
  <si>
    <t>VII. Total acreedores a largo plazo en 2 entidades sin desglose agrupación</t>
  </si>
  <si>
    <t>X. Total acreedores a corto plazo en 5 entidades sin desglose agrupación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</si>
</sst>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quot;€&quot;"/>
    <numFmt numFmtId="165" formatCode="#,##0.00\ &quot;€&quot;"/>
    <numFmt numFmtId="166" formatCode="0.0%"/>
    <numFmt numFmtId="167" formatCode="#,##0_);\(#,##0\)"/>
    <numFmt numFmtId="168" formatCode="0_)"/>
    <numFmt numFmtId="169" formatCode="#,##0\ &quot;empleados&quot;"/>
    <numFmt numFmtId="170" formatCode="#,##0.0%"/>
    <numFmt numFmtId="171" formatCode="#,##0\ &quot;euros&quot;"/>
  </numFmts>
  <fonts count="14">
    <font>
      <sz val="10"/>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2"/>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s>
  <fills count="5">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11">
    <border>
      <left/>
      <right/>
      <top/>
      <bottom/>
      <diagonal/>
    </border>
    <border>
      <left style="thin"/>
      <right style="thin"/>
      <top style="thin"/>
      <bottom/>
    </border>
    <border>
      <left style="thin"/>
      <right style="thin"/>
      <top/>
      <bottom/>
    </border>
    <border>
      <left style="thin"/>
      <right style="thin"/>
      <top/>
      <bottom style="thin"/>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0" fillId="0" borderId="0">
      <alignment/>
      <protection/>
    </xf>
    <xf numFmtId="167" fontId="8" fillId="0" borderId="0">
      <alignment/>
      <protection/>
    </xf>
    <xf numFmtId="167" fontId="8" fillId="0" borderId="0">
      <alignment/>
      <protection/>
    </xf>
  </cellStyleXfs>
  <cellXfs count="135">
    <xf numFmtId="0" fontId="0" fillId="0" borderId="0" xfId="0"/>
    <xf numFmtId="0" fontId="4" fillId="2" borderId="0" xfId="0" applyFont="1" applyFill="1" applyBorder="1" applyAlignment="1">
      <alignment horizontal="left"/>
    </xf>
    <xf numFmtId="0" fontId="0" fillId="2" borderId="0" xfId="0" applyFill="1"/>
    <xf numFmtId="0" fontId="3" fillId="2" borderId="0" xfId="0" applyFont="1" applyFill="1"/>
    <xf numFmtId="0" fontId="6" fillId="2" borderId="0" xfId="0" applyFont="1" applyFill="1" applyBorder="1" applyAlignment="1">
      <alignment horizontal="lef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167" fontId="9" fillId="2" borderId="0" xfId="22" applyFont="1" applyFill="1" applyAlignment="1" applyProtection="1">
      <alignment horizontal="left"/>
      <protection/>
    </xf>
    <xf numFmtId="167" fontId="9" fillId="2" borderId="0" xfId="22" applyFont="1" applyFill="1" applyProtection="1">
      <alignment/>
      <protection/>
    </xf>
    <xf numFmtId="167" fontId="9" fillId="2" borderId="0" xfId="22" applyFont="1" applyFill="1" applyAlignment="1" applyProtection="1">
      <alignment horizontal="right"/>
      <protection/>
    </xf>
    <xf numFmtId="1" fontId="9" fillId="2" borderId="0" xfId="22" applyNumberFormat="1" applyFont="1" applyFill="1" applyAlignment="1" applyProtection="1">
      <alignment horizontal="right"/>
      <protection/>
    </xf>
    <xf numFmtId="167" fontId="10" fillId="2" borderId="0" xfId="22" applyFont="1" applyFill="1" applyProtection="1">
      <alignment/>
      <protection/>
    </xf>
    <xf numFmtId="167" fontId="9" fillId="2" borderId="4" xfId="22" applyFont="1" applyFill="1" applyBorder="1" applyProtection="1">
      <alignment/>
      <protection/>
    </xf>
    <xf numFmtId="167" fontId="10" fillId="2" borderId="4" xfId="22" applyFont="1" applyFill="1" applyBorder="1" applyProtection="1">
      <alignment/>
      <protection/>
    </xf>
    <xf numFmtId="167" fontId="4" fillId="2" borderId="4" xfId="22" applyFont="1" applyFill="1" applyBorder="1" applyAlignment="1" applyProtection="1">
      <alignment horizontal="right"/>
      <protection/>
    </xf>
    <xf numFmtId="4" fontId="3" fillId="2" borderId="4" xfId="0" applyNumberFormat="1" applyFont="1" applyFill="1" applyBorder="1"/>
    <xf numFmtId="167" fontId="10" fillId="2" borderId="0" xfId="22" applyFont="1" applyFill="1" applyBorder="1" applyProtection="1">
      <alignment/>
      <protection/>
    </xf>
    <xf numFmtId="167" fontId="9" fillId="2" borderId="0" xfId="22" applyFont="1" applyFill="1" applyBorder="1" applyProtection="1">
      <alignment/>
      <protection/>
    </xf>
    <xf numFmtId="167" fontId="4" fillId="2" borderId="0" xfId="22" applyFont="1" applyFill="1" applyBorder="1" applyAlignment="1" applyProtection="1">
      <alignment horizontal="right"/>
      <protection/>
    </xf>
    <xf numFmtId="4" fontId="3" fillId="2" borderId="0" xfId="0" applyNumberFormat="1" applyFont="1" applyFill="1" applyBorder="1"/>
    <xf numFmtId="167" fontId="10" fillId="2" borderId="5" xfId="23" applyFont="1" applyFill="1" applyBorder="1">
      <alignment/>
      <protection/>
    </xf>
    <xf numFmtId="167" fontId="10" fillId="2" borderId="5" xfId="23" applyFont="1" applyFill="1" applyBorder="1" applyProtection="1">
      <alignment/>
      <protection/>
    </xf>
    <xf numFmtId="167" fontId="10" fillId="2" borderId="0" xfId="23" applyFont="1" applyFill="1" applyBorder="1">
      <alignment/>
      <protection/>
    </xf>
    <xf numFmtId="167" fontId="10" fillId="2" borderId="0" xfId="23" applyFont="1" applyFill="1" applyBorder="1" applyProtection="1">
      <alignment/>
      <protection/>
    </xf>
    <xf numFmtId="167" fontId="5" fillId="2" borderId="0" xfId="23" applyFont="1" applyFill="1" applyBorder="1">
      <alignment/>
      <protection/>
    </xf>
    <xf numFmtId="167" fontId="9" fillId="2" borderId="0" xfId="23" applyFont="1" applyFill="1" applyBorder="1">
      <alignment/>
      <protection/>
    </xf>
    <xf numFmtId="167" fontId="4" fillId="2" borderId="0" xfId="22" applyFont="1" applyFill="1" applyAlignment="1" applyProtection="1">
      <alignment horizontal="left"/>
      <protection/>
    </xf>
    <xf numFmtId="4" fontId="3" fillId="2" borderId="0" xfId="0" applyNumberFormat="1" applyFont="1" applyFill="1"/>
    <xf numFmtId="0" fontId="6" fillId="3" borderId="4" xfId="0" applyFont="1" applyFill="1" applyBorder="1" applyAlignment="1">
      <alignment horizontal="left" vertical="center" wrapText="1"/>
    </xf>
    <xf numFmtId="1" fontId="6" fillId="3" borderId="4" xfId="0" applyNumberFormat="1" applyFont="1" applyFill="1" applyBorder="1" applyAlignment="1">
      <alignment horizontal="right" vertical="center" wrapText="1"/>
    </xf>
    <xf numFmtId="4" fontId="6" fillId="3" borderId="4" xfId="0" applyNumberFormat="1" applyFont="1" applyFill="1" applyBorder="1" applyAlignment="1">
      <alignment horizontal="right" vertical="center" wrapText="1"/>
    </xf>
    <xf numFmtId="0" fontId="6" fillId="2" borderId="6" xfId="0" applyFont="1" applyFill="1" applyBorder="1" applyAlignment="1">
      <alignment horizontal="left"/>
    </xf>
    <xf numFmtId="4" fontId="6" fillId="2" borderId="6" xfId="0" applyNumberFormat="1" applyFont="1" applyFill="1" applyBorder="1"/>
    <xf numFmtId="166" fontId="6" fillId="2" borderId="6" xfId="0" applyNumberFormat="1" applyFont="1" applyFill="1" applyBorder="1" applyAlignment="1">
      <alignment horizontal="right"/>
    </xf>
    <xf numFmtId="0" fontId="4" fillId="2" borderId="0" xfId="0" applyFont="1" applyFill="1" applyBorder="1"/>
    <xf numFmtId="0" fontId="4" fillId="2" borderId="0" xfId="0" applyFont="1" applyFill="1"/>
    <xf numFmtId="4" fontId="6" fillId="2" borderId="0" xfId="0" applyNumberFormat="1" applyFont="1" applyFill="1" applyBorder="1"/>
    <xf numFmtId="166" fontId="6" fillId="2" borderId="0" xfId="0" applyNumberFormat="1" applyFont="1" applyFill="1" applyBorder="1" applyAlignment="1">
      <alignment horizontal="right"/>
    </xf>
    <xf numFmtId="166" fontId="4" fillId="2" borderId="0" xfId="0" applyNumberFormat="1" applyFont="1" applyFill="1" applyBorder="1" applyAlignment="1">
      <alignment horizontal="right"/>
    </xf>
    <xf numFmtId="4" fontId="4" fillId="2" borderId="0" xfId="0" applyNumberFormat="1" applyFont="1" applyFill="1" applyBorder="1"/>
    <xf numFmtId="0" fontId="6" fillId="3" borderId="7" xfId="0" applyFont="1" applyFill="1" applyBorder="1" applyAlignment="1">
      <alignment horizontal="left"/>
    </xf>
    <xf numFmtId="166" fontId="6" fillId="3" borderId="7" xfId="0" applyNumberFormat="1" applyFont="1" applyFill="1" applyBorder="1" applyAlignment="1">
      <alignment horizontal="right"/>
    </xf>
    <xf numFmtId="166" fontId="6" fillId="2" borderId="0" xfId="0" applyNumberFormat="1" applyFont="1" applyFill="1" applyBorder="1"/>
    <xf numFmtId="4" fontId="4" fillId="2" borderId="0" xfId="0" applyNumberFormat="1" applyFont="1" applyFill="1"/>
    <xf numFmtId="166" fontId="6" fillId="3" borderId="0" xfId="0" applyNumberFormat="1" applyFont="1" applyFill="1" applyBorder="1" applyAlignment="1">
      <alignment horizontal="right"/>
    </xf>
    <xf numFmtId="0" fontId="4" fillId="2" borderId="0" xfId="0" applyFont="1" applyFill="1" applyBorder="1" applyAlignment="1">
      <alignment horizontal="center"/>
    </xf>
    <xf numFmtId="165" fontId="4" fillId="2" borderId="0" xfId="0" applyNumberFormat="1" applyFont="1" applyFill="1" applyBorder="1" applyAlignment="1">
      <alignment horizontal="right"/>
    </xf>
    <xf numFmtId="4" fontId="4" fillId="2" borderId="0" xfId="0" applyNumberFormat="1" applyFont="1" applyFill="1" applyBorder="1" applyAlignment="1">
      <alignment horizontal="right"/>
    </xf>
    <xf numFmtId="167" fontId="4" fillId="2" borderId="5" xfId="22" applyFont="1" applyFill="1" applyBorder="1" applyAlignment="1" applyProtection="1">
      <alignment horizontal="right"/>
      <protection/>
    </xf>
    <xf numFmtId="167" fontId="4" fillId="2" borderId="0" xfId="22" applyFont="1" applyFill="1" applyProtection="1">
      <alignment/>
      <protection/>
    </xf>
    <xf numFmtId="167" fontId="8" fillId="2" borderId="0" xfId="22" applyFill="1">
      <alignment/>
      <protection/>
    </xf>
    <xf numFmtId="167" fontId="8" fillId="2" borderId="0" xfId="22" applyFont="1" applyFill="1">
      <alignment/>
      <protection/>
    </xf>
    <xf numFmtId="167" fontId="12" fillId="2" borderId="0" xfId="23" applyFont="1" applyFill="1" applyProtection="1">
      <alignment/>
      <protection locked="0"/>
    </xf>
    <xf numFmtId="167" fontId="4" fillId="2" borderId="0" xfId="23" applyFont="1" applyFill="1" applyProtection="1">
      <alignment/>
      <protection/>
    </xf>
    <xf numFmtId="167" fontId="10" fillId="2" borderId="0" xfId="23" applyFont="1" applyFill="1" applyBorder="1" applyAlignment="1" applyProtection="1">
      <alignment/>
      <protection/>
    </xf>
    <xf numFmtId="1" fontId="4" fillId="2" borderId="0" xfId="22" applyNumberFormat="1" applyFont="1" applyFill="1" applyAlignment="1" applyProtection="1">
      <alignment horizontal="right"/>
      <protection/>
    </xf>
    <xf numFmtId="1" fontId="6" fillId="3" borderId="4" xfId="0" applyNumberFormat="1" applyFont="1" applyFill="1" applyBorder="1" applyAlignment="1">
      <alignment horizontal="left" vertical="center" wrapText="1"/>
    </xf>
    <xf numFmtId="0" fontId="3" fillId="3" borderId="4" xfId="0" applyFont="1" applyFill="1" applyBorder="1"/>
    <xf numFmtId="0" fontId="6" fillId="2" borderId="8" xfId="0" applyFont="1" applyFill="1" applyBorder="1"/>
    <xf numFmtId="4" fontId="6" fillId="2" borderId="8" xfId="0" applyNumberFormat="1" applyFont="1" applyFill="1" applyBorder="1"/>
    <xf numFmtId="0" fontId="4" fillId="2" borderId="8" xfId="0" applyFont="1" applyFill="1" applyBorder="1"/>
    <xf numFmtId="4" fontId="3" fillId="2" borderId="8" xfId="0" applyNumberFormat="1" applyFont="1" applyFill="1" applyBorder="1"/>
    <xf numFmtId="0" fontId="3" fillId="2" borderId="8" xfId="0" applyFont="1" applyFill="1" applyBorder="1"/>
    <xf numFmtId="0" fontId="6" fillId="2" borderId="0" xfId="0" applyFont="1" applyFill="1" applyBorder="1"/>
    <xf numFmtId="0" fontId="3" fillId="2" borderId="0" xfId="0" applyFont="1" applyFill="1" applyBorder="1"/>
    <xf numFmtId="0" fontId="4" fillId="2" borderId="0" xfId="0" applyFont="1" applyFill="1" applyBorder="1" applyAlignment="1">
      <alignment horizontal="left" indent="1"/>
    </xf>
    <xf numFmtId="170"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2" fontId="4" fillId="2" borderId="0" xfId="0" applyNumberFormat="1" applyFont="1" applyFill="1" applyBorder="1" applyAlignment="1">
      <alignment horizontal="right"/>
    </xf>
    <xf numFmtId="0" fontId="11" fillId="2" borderId="0" xfId="0" applyFont="1" applyFill="1" applyBorder="1"/>
    <xf numFmtId="0" fontId="6" fillId="2" borderId="6" xfId="0" applyFont="1" applyFill="1" applyBorder="1"/>
    <xf numFmtId="0" fontId="4" fillId="2" borderId="5" xfId="0" applyFont="1" applyFill="1" applyBorder="1"/>
    <xf numFmtId="170" fontId="4" fillId="2" borderId="5" xfId="0" applyNumberFormat="1" applyFont="1" applyFill="1" applyBorder="1" applyAlignment="1">
      <alignment horizontal="right"/>
    </xf>
    <xf numFmtId="0" fontId="6" fillId="3" borderId="6" xfId="0" applyFont="1" applyFill="1" applyBorder="1"/>
    <xf numFmtId="165" fontId="6" fillId="2" borderId="0" xfId="0" applyNumberFormat="1" applyFont="1" applyFill="1" applyBorder="1" applyAlignment="1">
      <alignment horizontal="right"/>
    </xf>
    <xf numFmtId="167" fontId="5" fillId="2" borderId="4" xfId="23" applyNumberFormat="1" applyFont="1" applyFill="1" applyBorder="1" applyProtection="1">
      <alignment/>
      <protection locked="0"/>
    </xf>
    <xf numFmtId="167" fontId="10" fillId="0" borderId="5" xfId="22" applyFont="1" applyFill="1" applyBorder="1" applyAlignment="1" applyProtection="1">
      <alignment horizontal="right"/>
      <protection/>
    </xf>
    <xf numFmtId="167" fontId="10" fillId="2" borderId="5" xfId="22" applyFont="1" applyFill="1" applyBorder="1" applyAlignment="1" applyProtection="1">
      <alignment/>
      <protection/>
    </xf>
    <xf numFmtId="167" fontId="9" fillId="2" borderId="0" xfId="23" applyNumberFormat="1" applyFont="1" applyFill="1" applyBorder="1" applyProtection="1">
      <alignment/>
      <protection locked="0"/>
    </xf>
    <xf numFmtId="167" fontId="5" fillId="3" borderId="4" xfId="23" applyFont="1" applyFill="1" applyBorder="1">
      <alignment/>
      <protection/>
    </xf>
    <xf numFmtId="167" fontId="10" fillId="3" borderId="4" xfId="23" applyFont="1" applyFill="1" applyBorder="1" applyProtection="1">
      <alignment/>
      <protection/>
    </xf>
    <xf numFmtId="0" fontId="4" fillId="2" borderId="0" xfId="0" applyFont="1" applyFill="1" applyBorder="1" applyAlignment="1" applyProtection="1">
      <alignment horizontal="left"/>
      <protection locked="0"/>
    </xf>
    <xf numFmtId="0" fontId="4" fillId="2" borderId="5" xfId="0" applyFont="1" applyFill="1" applyBorder="1" applyAlignment="1">
      <alignment horizontal="left"/>
    </xf>
    <xf numFmtId="0" fontId="6" fillId="2" borderId="5"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Alignment="1">
      <alignment horizontal="left"/>
    </xf>
    <xf numFmtId="0" fontId="4" fillId="2" borderId="5" xfId="0" applyFont="1" applyFill="1" applyBorder="1" applyAlignment="1" applyProtection="1">
      <alignment horizontal="left"/>
      <protection locked="0"/>
    </xf>
    <xf numFmtId="0" fontId="3" fillId="2" borderId="5" xfId="0" applyFont="1" applyFill="1" applyBorder="1" applyAlignment="1">
      <alignment horizontal="left"/>
    </xf>
    <xf numFmtId="0" fontId="3" fillId="2" borderId="0" xfId="0" applyFont="1" applyFill="1" applyAlignment="1">
      <alignment horizontal="left"/>
    </xf>
    <xf numFmtId="168" fontId="13" fillId="2" borderId="0" xfId="23" applyNumberFormat="1" applyFont="1" applyFill="1" applyBorder="1" applyAlignment="1" applyProtection="1" quotePrefix="1">
      <alignment horizontal="right"/>
      <protection locked="0"/>
    </xf>
    <xf numFmtId="0" fontId="0" fillId="0" borderId="5" xfId="0" applyBorder="1"/>
    <xf numFmtId="167" fontId="4" fillId="2" borderId="0" xfId="23" applyFont="1" applyFill="1" applyBorder="1">
      <alignment/>
      <protection/>
    </xf>
    <xf numFmtId="167" fontId="4" fillId="2" borderId="0" xfId="23" applyFont="1" applyFill="1" applyBorder="1" applyProtection="1">
      <alignment/>
      <protection/>
    </xf>
    <xf numFmtId="167" fontId="3" fillId="2" borderId="0" xfId="22" applyFont="1" applyFill="1" applyProtection="1">
      <alignment/>
      <protection/>
    </xf>
    <xf numFmtId="167" fontId="5" fillId="2" borderId="0" xfId="22" applyFont="1" applyFill="1" applyProtection="1">
      <alignment/>
      <protection/>
    </xf>
    <xf numFmtId="165" fontId="4" fillId="2" borderId="9" xfId="0" applyNumberFormat="1" applyFont="1" applyFill="1" applyBorder="1" applyAlignment="1">
      <alignment horizontal="right"/>
    </xf>
    <xf numFmtId="169" fontId="4" fillId="2" borderId="0" xfId="0" applyNumberFormat="1" applyFont="1" applyFill="1" applyBorder="1" applyAlignment="1">
      <alignment horizontal="right"/>
    </xf>
    <xf numFmtId="0" fontId="4" fillId="4" borderId="7" xfId="0" applyFont="1" applyFill="1" applyBorder="1" applyAlignment="1">
      <alignment/>
    </xf>
    <xf numFmtId="0" fontId="9" fillId="3" borderId="4" xfId="0" applyFont="1" applyFill="1" applyBorder="1" applyAlignment="1">
      <alignment vertical="center" wrapText="1"/>
    </xf>
    <xf numFmtId="0" fontId="4" fillId="2" borderId="8" xfId="0" applyFont="1" applyFill="1" applyBorder="1" applyAlignment="1">
      <alignment horizontal="left"/>
    </xf>
    <xf numFmtId="0" fontId="4" fillId="4" borderId="5" xfId="0" applyFont="1" applyFill="1" applyBorder="1" applyAlignment="1">
      <alignment/>
    </xf>
    <xf numFmtId="0" fontId="6" fillId="4" borderId="5" xfId="0" applyFont="1" applyFill="1" applyBorder="1" applyAlignment="1">
      <alignment/>
    </xf>
    <xf numFmtId="169" fontId="4" fillId="2" borderId="5" xfId="0" applyNumberFormat="1" applyFont="1" applyFill="1" applyBorder="1" applyAlignment="1">
      <alignment horizontal="right"/>
    </xf>
    <xf numFmtId="165" fontId="4" fillId="2" borderId="7" xfId="0" applyNumberFormat="1" applyFont="1" applyFill="1" applyBorder="1" applyAlignment="1">
      <alignment horizontal="right"/>
    </xf>
    <xf numFmtId="1" fontId="4" fillId="2" borderId="0" xfId="0" applyNumberFormat="1" applyFont="1" applyFill="1" applyBorder="1" applyAlignment="1" applyProtection="1">
      <alignment horizontal="left"/>
      <protection locked="0"/>
    </xf>
    <xf numFmtId="167" fontId="6" fillId="3" borderId="4" xfId="23" applyFont="1" applyFill="1" applyBorder="1" applyAlignment="1" applyProtection="1">
      <alignment vertical="center"/>
      <protection/>
    </xf>
    <xf numFmtId="165" fontId="4" fillId="2" borderId="0" xfId="0" applyNumberFormat="1" applyFont="1" applyFill="1"/>
    <xf numFmtId="0" fontId="6" fillId="2" borderId="10" xfId="0" applyFont="1" applyFill="1" applyBorder="1" applyAlignment="1">
      <alignment horizontal="left"/>
    </xf>
    <xf numFmtId="166" fontId="6" fillId="2" borderId="10" xfId="0" applyNumberFormat="1" applyFont="1" applyFill="1" applyBorder="1" applyAlignment="1">
      <alignment horizontal="right"/>
    </xf>
    <xf numFmtId="165" fontId="0" fillId="2" borderId="0" xfId="0" applyNumberFormat="1" applyFill="1"/>
    <xf numFmtId="165" fontId="4" fillId="2" borderId="0" xfId="0" applyNumberFormat="1" applyFont="1" applyFill="1" applyBorder="1" applyAlignment="1">
      <alignment horizontal="center"/>
    </xf>
    <xf numFmtId="0" fontId="0" fillId="0" borderId="0" xfId="0" applyAlignment="1">
      <alignment shrinkToFit="1"/>
    </xf>
    <xf numFmtId="4" fontId="6" fillId="3" borderId="7" xfId="0" applyNumberFormat="1" applyFont="1" applyFill="1" applyBorder="1" applyAlignment="1">
      <alignment horizontal="right"/>
    </xf>
    <xf numFmtId="167" fontId="10" fillId="2" borderId="0" xfId="22" applyFont="1" applyFill="1" applyAlignment="1" applyProtection="1">
      <alignment horizontal="right"/>
      <protection/>
    </xf>
    <xf numFmtId="167" fontId="10" fillId="2" borderId="0" xfId="23" applyFont="1" applyFill="1" applyBorder="1" applyAlignment="1" applyProtection="1">
      <alignment horizontal="right"/>
      <protection/>
    </xf>
    <xf numFmtId="0" fontId="3" fillId="2" borderId="0" xfId="0" applyFont="1" applyFill="1" applyAlignment="1">
      <alignment horizontal="right"/>
    </xf>
    <xf numFmtId="4" fontId="6" fillId="2" borderId="6" xfId="0" applyNumberFormat="1" applyFont="1" applyFill="1" applyBorder="1" applyAlignment="1">
      <alignment horizontal="right"/>
    </xf>
    <xf numFmtId="4" fontId="6" fillId="2" borderId="0" xfId="0" applyNumberFormat="1" applyFont="1" applyFill="1" applyBorder="1" applyAlignment="1">
      <alignment horizontal="right"/>
    </xf>
    <xf numFmtId="4" fontId="6" fillId="2" borderId="10" xfId="0" applyNumberFormat="1" applyFont="1" applyFill="1" applyBorder="1" applyAlignment="1">
      <alignment horizontal="right"/>
    </xf>
    <xf numFmtId="4" fontId="4" fillId="2" borderId="0" xfId="0" applyNumberFormat="1" applyFont="1" applyFill="1" applyAlignment="1">
      <alignment horizontal="right"/>
    </xf>
    <xf numFmtId="4" fontId="3" fillId="2" borderId="0" xfId="0" applyNumberFormat="1" applyFont="1" applyFill="1" applyAlignment="1">
      <alignment horizontal="right"/>
    </xf>
    <xf numFmtId="4" fontId="6" fillId="3" borderId="6" xfId="0" applyNumberFormat="1" applyFont="1" applyFill="1" applyBorder="1" applyAlignment="1">
      <alignment horizontal="right"/>
    </xf>
    <xf numFmtId="0" fontId="4" fillId="2" borderId="0" xfId="23" applyNumberFormat="1" applyFont="1" applyFill="1" applyBorder="1" applyAlignment="1" applyProtection="1">
      <alignment horizontal="center"/>
      <protection/>
    </xf>
    <xf numFmtId="4" fontId="4" fillId="2" borderId="0" xfId="0" applyNumberFormat="1" applyFont="1" applyFill="1" applyBorder="1" applyAlignment="1">
      <alignment horizontal="center"/>
    </xf>
    <xf numFmtId="4" fontId="4" fillId="0" borderId="0" xfId="0" applyNumberFormat="1" applyFont="1" applyFill="1" applyBorder="1" applyAlignment="1">
      <alignment horizontal="center" vertical="center" wrapText="1"/>
    </xf>
    <xf numFmtId="167" fontId="10" fillId="0" borderId="0" xfId="23" applyFont="1" applyFill="1" applyBorder="1" applyProtection="1">
      <alignment/>
      <protection/>
    </xf>
    <xf numFmtId="0" fontId="4" fillId="0" borderId="0" xfId="0" applyFont="1" applyFill="1" applyBorder="1" applyAlignment="1">
      <alignment horizontal="center"/>
    </xf>
    <xf numFmtId="0" fontId="3" fillId="2" borderId="5" xfId="0" applyFont="1" applyFill="1" applyBorder="1"/>
    <xf numFmtId="171" fontId="4" fillId="2" borderId="0" xfId="0" applyNumberFormat="1" applyFont="1" applyFill="1" applyBorder="1" applyAlignment="1">
      <alignment horizontal="right"/>
    </xf>
    <xf numFmtId="0" fontId="4" fillId="2" borderId="0" xfId="0" applyFont="1" applyFill="1" applyBorder="1" applyAlignment="1">
      <alignment horizontal="justify" vertical="center" wrapText="1" readingOrder="1"/>
    </xf>
    <xf numFmtId="167" fontId="10" fillId="2" borderId="5" xfId="22" applyFont="1" applyFill="1" applyBorder="1" applyAlignment="1" applyProtection="1">
      <alignment horizontal="right"/>
      <protection/>
    </xf>
    <xf numFmtId="0" fontId="6" fillId="3" borderId="4" xfId="0" applyFont="1" applyFill="1" applyBorder="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No-definido" xfId="20"/>
    <cellStyle name="Normal 2" xfId="21"/>
    <cellStyle name="Normal_cuenta 00 AGOST" xfId="22"/>
    <cellStyle name="Normal_cuenta 01 AGOST"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externalLink" Target="externalLinks/externalLink20.xml" /><Relationship Id="rId30" Type="http://schemas.openxmlformats.org/officeDocument/2006/relationships/externalLink" Target="externalLinks/externalLink21.xml" /><Relationship Id="rId31" Type="http://schemas.openxmlformats.org/officeDocument/2006/relationships/externalLink" Target="externalLinks/externalLink22.xml" /><Relationship Id="rId32" Type="http://schemas.openxmlformats.org/officeDocument/2006/relationships/externalLink" Target="externalLinks/externalLink23.xml" /><Relationship Id="rId33" Type="http://schemas.openxmlformats.org/officeDocument/2006/relationships/externalLink" Target="externalLinks/externalLink24.xml" /><Relationship Id="rId34" Type="http://schemas.openxmlformats.org/officeDocument/2006/relationships/externalLink" Target="externalLinks/externalLink25.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523875</xdr:colOff>
      <xdr:row>1</xdr:row>
      <xdr:rowOff>9525</xdr:rowOff>
    </xdr:to>
    <xdr:pic>
      <xdr:nvPicPr>
        <xdr:cNvPr id="1292"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85725"/>
          <a:ext cx="514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2316"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3340"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1</xdr:row>
      <xdr:rowOff>38100</xdr:rowOff>
    </xdr:to>
    <xdr:pic>
      <xdr:nvPicPr>
        <xdr:cNvPr id="4365" name="Picture 2"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000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38100</xdr:rowOff>
    </xdr:to>
    <xdr:pic>
      <xdr:nvPicPr>
        <xdr:cNvPr id="5388"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19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38100</xdr:rowOff>
    </xdr:to>
    <xdr:pic>
      <xdr:nvPicPr>
        <xdr:cNvPr id="6412"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19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1995\22100_X201_1995.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995\22202_X201_1995.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995\22205_X201_1995.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995\22206_X201_1995.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995\22231_X211A_1995.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995\22233_X211A_1995.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polo\badespav\1995\22234_X211A_1995.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1995\22235_X211_1995.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1995\22236_X211A_1995.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1995\22240_X211A_1995.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995\22901_X291_199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995\22102_X201_1995.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1995\21400_X112_1995.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1995\21401_X112_1995.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Apolo\badespav\1995\21500_X110_1995.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1995\21501_X112_1995.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1995\21502_X111_1995.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Apolo\badespav\1995\21503_X111_199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95\22103_X201_199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995\22104_X201_199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995\22105_X201_199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995\22106_X201_199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995\22107_X201_199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995\22200_X201_1995.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995\22201_X201_19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162.254,99</v>
          </cell>
        </row>
        <row r="4">
          <cell r="D4" t="str">
            <v>35.987.921,84</v>
          </cell>
          <cell r="L4" t="str">
            <v>225.326,88</v>
          </cell>
        </row>
        <row r="5">
          <cell r="D5" t="str">
            <v>0,00</v>
          </cell>
          <cell r="L5" t="str">
            <v>0,00</v>
          </cell>
        </row>
        <row r="6">
          <cell r="D6" t="str">
            <v>1.065.737,80</v>
          </cell>
          <cell r="L6" t="str">
            <v>0,00</v>
          </cell>
        </row>
        <row r="7">
          <cell r="L7" t="str">
            <v>0,00</v>
          </cell>
        </row>
        <row r="14">
          <cell r="L14" t="str">
            <v>-63.071,89</v>
          </cell>
        </row>
        <row r="17">
          <cell r="D17" t="str">
            <v>34.838.447,68</v>
          </cell>
          <cell r="L17" t="str">
            <v>-30.059.197,88</v>
          </cell>
        </row>
        <row r="18">
          <cell r="L18" t="str">
            <v>30.059.197,88</v>
          </cell>
        </row>
        <row r="19">
          <cell r="L19" t="str">
            <v>0,00</v>
          </cell>
        </row>
        <row r="20">
          <cell r="L20" t="str">
            <v>0,00</v>
          </cell>
        </row>
        <row r="21">
          <cell r="L21" t="str">
            <v>36.980.330,82</v>
          </cell>
        </row>
        <row r="25">
          <cell r="D25" t="str">
            <v>83.736,37</v>
          </cell>
        </row>
        <row r="26">
          <cell r="L26" t="str">
            <v>465.360,94</v>
          </cell>
        </row>
        <row r="31">
          <cell r="L31" t="str">
            <v>9.389,01</v>
          </cell>
        </row>
        <row r="32">
          <cell r="L32" t="str">
            <v>0,00</v>
          </cell>
        </row>
        <row r="35">
          <cell r="D35" t="str">
            <v>0,00</v>
          </cell>
        </row>
        <row r="36">
          <cell r="D36" t="str">
            <v>0,00</v>
          </cell>
          <cell r="L36" t="str">
            <v>0,00</v>
          </cell>
        </row>
        <row r="37">
          <cell r="D37" t="str">
            <v>0,00</v>
          </cell>
        </row>
        <row r="38">
          <cell r="D38" t="str">
            <v>28.702.504,63</v>
          </cell>
        </row>
        <row r="39">
          <cell r="D39" t="str">
            <v>0,00</v>
          </cell>
          <cell r="L39" t="str">
            <v>0,00</v>
          </cell>
        </row>
        <row r="40">
          <cell r="D40" t="str">
            <v>0,00</v>
          </cell>
        </row>
        <row r="42">
          <cell r="L42" t="str">
            <v>9.389,01</v>
          </cell>
        </row>
        <row r="47">
          <cell r="L47" t="str">
            <v>0,00</v>
          </cell>
        </row>
        <row r="48">
          <cell r="D48" t="str">
            <v>27.519.226,77</v>
          </cell>
        </row>
        <row r="51">
          <cell r="L51" t="str">
            <v>0,00</v>
          </cell>
        </row>
        <row r="52">
          <cell r="L52" t="str">
            <v>27.073.090,72</v>
          </cell>
        </row>
        <row r="53">
          <cell r="L53" t="str">
            <v>0,00</v>
          </cell>
        </row>
        <row r="56">
          <cell r="D56" t="str">
            <v>38.110,90</v>
          </cell>
        </row>
        <row r="58">
          <cell r="L58" t="str">
            <v>0,00</v>
          </cell>
        </row>
        <row r="62">
          <cell r="L62" t="str">
            <v>9.190.006,13</v>
          </cell>
        </row>
        <row r="65">
          <cell r="D65" t="str">
            <v>0,00</v>
          </cell>
          <cell r="L65" t="str">
            <v>0,00</v>
          </cell>
        </row>
        <row r="66">
          <cell r="D66" t="str">
            <v>1.145.166,96</v>
          </cell>
        </row>
        <row r="67">
          <cell r="D67" t="str">
            <v>0,00</v>
          </cell>
        </row>
        <row r="69">
          <cell r="L69" t="str">
            <v>17.883.084,59</v>
          </cell>
        </row>
        <row r="75">
          <cell r="L75" t="str">
            <v>0,00</v>
          </cell>
        </row>
        <row r="76">
          <cell r="L76" t="str">
            <v>0,00</v>
          </cell>
        </row>
        <row r="77">
          <cell r="L77" t="str">
            <v>0,00</v>
          </cell>
        </row>
      </sheetData>
      <sheetData sheetId="2">
        <row r="4">
          <cell r="D4" t="str">
            <v>0,00</v>
          </cell>
          <cell r="L4" t="str">
            <v>565.569,68</v>
          </cell>
        </row>
        <row r="5">
          <cell r="D5" t="str">
            <v>29.108.051,34</v>
          </cell>
        </row>
        <row r="9">
          <cell r="L9" t="str">
            <v>0,00</v>
          </cell>
        </row>
        <row r="10">
          <cell r="L10" t="str">
            <v>0,00</v>
          </cell>
        </row>
        <row r="11">
          <cell r="D11" t="str">
            <v>2.715.293,31</v>
          </cell>
          <cell r="L11" t="str">
            <v>698.374,69</v>
          </cell>
        </row>
        <row r="12">
          <cell r="D12" t="str">
            <v>818.155,76</v>
          </cell>
        </row>
        <row r="13">
          <cell r="D13" t="str">
            <v>1.079.560,83</v>
          </cell>
        </row>
        <row r="14">
          <cell r="D14" t="str">
            <v>0,00</v>
          </cell>
        </row>
        <row r="16">
          <cell r="L16" t="str">
            <v>0,00</v>
          </cell>
        </row>
        <row r="18">
          <cell r="D18" t="str">
            <v>2.928.283,80</v>
          </cell>
        </row>
        <row r="20">
          <cell r="L20" t="str">
            <v>0,00</v>
          </cell>
        </row>
        <row r="24">
          <cell r="D24" t="str">
            <v>170.332,85</v>
          </cell>
          <cell r="L24" t="str">
            <v>323.572,19</v>
          </cell>
        </row>
        <row r="29">
          <cell r="D29" t="str">
            <v>0,00</v>
          </cell>
          <cell r="L29" t="str">
            <v>14.745,30</v>
          </cell>
        </row>
        <row r="30">
          <cell r="D30" t="str">
            <v>0,00</v>
          </cell>
        </row>
        <row r="32">
          <cell r="L32" t="str">
            <v>0,00</v>
          </cell>
        </row>
        <row r="33">
          <cell r="D33" t="str">
            <v>0,00</v>
          </cell>
          <cell r="L33" t="str">
            <v>0,00</v>
          </cell>
        </row>
        <row r="34">
          <cell r="D34" t="str">
            <v>297,99</v>
          </cell>
          <cell r="L34" t="str">
            <v>1.063.037,00</v>
          </cell>
        </row>
        <row r="35">
          <cell r="D35" t="str">
            <v>0,00</v>
          </cell>
          <cell r="L35" t="str">
            <v>25.903,62</v>
          </cell>
        </row>
        <row r="36">
          <cell r="D36" t="str">
            <v>0,00</v>
          </cell>
          <cell r="L36" t="str">
            <v>4.330.581,77</v>
          </cell>
        </row>
        <row r="37">
          <cell r="D37" t="str">
            <v>179.856,00</v>
          </cell>
        </row>
        <row r="40">
          <cell r="D40" t="str">
            <v>81.150,23</v>
          </cell>
        </row>
        <row r="41">
          <cell r="D41" t="str">
            <v>0,00</v>
          </cell>
        </row>
      </sheetData>
      <sheetData sheetId="3">
        <row r="6">
          <cell r="D6">
            <v>118</v>
          </cell>
        </row>
        <row r="10">
          <cell r="H10">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13.606,91</v>
          </cell>
          <cell r="L3" t="str">
            <v>6.847.691,51</v>
          </cell>
        </row>
        <row r="4">
          <cell r="D4" t="str">
            <v>22.179.546,36</v>
          </cell>
          <cell r="L4" t="str">
            <v>8.432.199,82</v>
          </cell>
        </row>
        <row r="5">
          <cell r="D5" t="str">
            <v>0,00</v>
          </cell>
          <cell r="L5" t="str">
            <v>0,00</v>
          </cell>
        </row>
        <row r="6">
          <cell r="D6" t="str">
            <v>23.577,70</v>
          </cell>
          <cell r="L6" t="str">
            <v>0,00</v>
          </cell>
        </row>
        <row r="7">
          <cell r="L7" t="str">
            <v>0,00</v>
          </cell>
        </row>
        <row r="14">
          <cell r="L14" t="str">
            <v>0,00</v>
          </cell>
        </row>
        <row r="17">
          <cell r="D17" t="str">
            <v>9.326.583,97</v>
          </cell>
          <cell r="L17" t="str">
            <v>-1.584.508,31</v>
          </cell>
        </row>
        <row r="18">
          <cell r="L18" t="str">
            <v>0,00</v>
          </cell>
        </row>
        <row r="19">
          <cell r="L19" t="str">
            <v>0,00</v>
          </cell>
        </row>
        <row r="20">
          <cell r="L20" t="str">
            <v>0,00</v>
          </cell>
        </row>
        <row r="21">
          <cell r="L21" t="str">
            <v>9.410.202,78</v>
          </cell>
        </row>
        <row r="25">
          <cell r="D25" t="str">
            <v>10.837.955,12</v>
          </cell>
        </row>
        <row r="26">
          <cell r="L26" t="str">
            <v>0,00</v>
          </cell>
        </row>
        <row r="31">
          <cell r="L31" t="str">
            <v>54.697.889,25</v>
          </cell>
        </row>
        <row r="32">
          <cell r="L32" t="str">
            <v>0,00</v>
          </cell>
        </row>
        <row r="35">
          <cell r="D35" t="str">
            <v>0,00</v>
          </cell>
        </row>
        <row r="36">
          <cell r="D36" t="str">
            <v>1.991.429,57</v>
          </cell>
          <cell r="L36" t="str">
            <v>53.318.566,47</v>
          </cell>
        </row>
        <row r="37">
          <cell r="D37" t="str">
            <v>390.153,02</v>
          </cell>
        </row>
        <row r="38">
          <cell r="D38" t="str">
            <v>195.389.341,65</v>
          </cell>
        </row>
        <row r="39">
          <cell r="D39" t="str">
            <v>0,00</v>
          </cell>
          <cell r="L39" t="str">
            <v>0,00</v>
          </cell>
        </row>
        <row r="40">
          <cell r="D40" t="str">
            <v>75.104.209,49</v>
          </cell>
        </row>
        <row r="42">
          <cell r="L42" t="str">
            <v>0,00</v>
          </cell>
        </row>
        <row r="47">
          <cell r="L47" t="str">
            <v>1.379.322,78</v>
          </cell>
        </row>
        <row r="48">
          <cell r="D48" t="str">
            <v>76.279.158,10</v>
          </cell>
        </row>
        <row r="51">
          <cell r="L51" t="str">
            <v>0,00</v>
          </cell>
        </row>
        <row r="52">
          <cell r="L52" t="str">
            <v>147.016.864,40</v>
          </cell>
        </row>
        <row r="53">
          <cell r="L53" t="str">
            <v>0,00</v>
          </cell>
        </row>
        <row r="56">
          <cell r="D56" t="str">
            <v>24.567.259,26</v>
          </cell>
        </row>
        <row r="58">
          <cell r="L58" t="str">
            <v>73.312.959,02</v>
          </cell>
        </row>
        <row r="62">
          <cell r="L62" t="str">
            <v>13.600.080,54</v>
          </cell>
        </row>
        <row r="65">
          <cell r="D65" t="str">
            <v>0,00</v>
          </cell>
          <cell r="L65" t="str">
            <v>51.333.603,79</v>
          </cell>
        </row>
        <row r="66">
          <cell r="D66" t="str">
            <v>19.433.828,57</v>
          </cell>
        </row>
        <row r="67">
          <cell r="D67" t="str">
            <v>4.886,23</v>
          </cell>
        </row>
        <row r="69">
          <cell r="L69" t="str">
            <v>7.401.343,86</v>
          </cell>
        </row>
        <row r="75">
          <cell r="L75" t="str">
            <v>144.158,76</v>
          </cell>
        </row>
        <row r="76">
          <cell r="L76" t="str">
            <v>1.224.718,43</v>
          </cell>
        </row>
        <row r="77">
          <cell r="L77" t="str">
            <v>0,00</v>
          </cell>
        </row>
      </sheetData>
      <sheetData sheetId="2">
        <row r="4">
          <cell r="D4" t="str">
            <v>0,00</v>
          </cell>
          <cell r="L4" t="str">
            <v>23.132.108,47</v>
          </cell>
        </row>
        <row r="5">
          <cell r="D5" t="str">
            <v>26.442.002,33</v>
          </cell>
        </row>
        <row r="9">
          <cell r="L9" t="str">
            <v>12.115.388,31</v>
          </cell>
        </row>
        <row r="10">
          <cell r="L10" t="str">
            <v>131.639,68</v>
          </cell>
        </row>
        <row r="11">
          <cell r="D11" t="str">
            <v>3.462.202,35</v>
          </cell>
          <cell r="L11" t="str">
            <v>5.867.158,29</v>
          </cell>
        </row>
        <row r="12">
          <cell r="D12" t="str">
            <v>1.012.687,37</v>
          </cell>
        </row>
        <row r="13">
          <cell r="D13" t="str">
            <v>240.879,64</v>
          </cell>
        </row>
        <row r="14">
          <cell r="D14" t="str">
            <v>24.004,42</v>
          </cell>
        </row>
        <row r="16">
          <cell r="L16" t="str">
            <v>0,00</v>
          </cell>
        </row>
        <row r="18">
          <cell r="D18" t="str">
            <v>3.413.418,20</v>
          </cell>
        </row>
        <row r="20">
          <cell r="L20" t="str">
            <v>2.585.253,57</v>
          </cell>
        </row>
        <row r="24">
          <cell r="D24" t="str">
            <v>11.103.951,05</v>
          </cell>
          <cell r="L24" t="str">
            <v>615.442,41</v>
          </cell>
        </row>
        <row r="29">
          <cell r="D29" t="str">
            <v>0,00</v>
          </cell>
          <cell r="L29" t="str">
            <v>0,00</v>
          </cell>
        </row>
        <row r="30">
          <cell r="D30" t="str">
            <v>0,00</v>
          </cell>
        </row>
        <row r="32">
          <cell r="L32" t="str">
            <v>5.300,93</v>
          </cell>
        </row>
        <row r="33">
          <cell r="D33" t="str">
            <v>-31.523,08</v>
          </cell>
          <cell r="L33" t="str">
            <v>0,00</v>
          </cell>
        </row>
        <row r="34">
          <cell r="D34" t="str">
            <v>0,00</v>
          </cell>
          <cell r="L34" t="str">
            <v>2.908.477,88</v>
          </cell>
        </row>
        <row r="35">
          <cell r="D35" t="str">
            <v>0,00</v>
          </cell>
          <cell r="L35" t="str">
            <v>24.960,03</v>
          </cell>
        </row>
        <row r="36">
          <cell r="D36" t="str">
            <v>36,06</v>
          </cell>
          <cell r="L36" t="str">
            <v>34.864,71</v>
          </cell>
        </row>
        <row r="37">
          <cell r="D37" t="str">
            <v>3.337.444,26</v>
          </cell>
        </row>
        <row r="40">
          <cell r="D40" t="str">
            <v>0,00</v>
          </cell>
        </row>
        <row r="41">
          <cell r="D41" t="str">
            <v>0,00</v>
          </cell>
        </row>
      </sheetData>
      <sheetData sheetId="3">
        <row r="6">
          <cell r="D6">
            <v>185</v>
          </cell>
        </row>
        <row r="10">
          <cell r="H10">
            <v>83630834.32500331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1.014.592,57</v>
          </cell>
        </row>
        <row r="4">
          <cell r="D4" t="str">
            <v>529.323,38</v>
          </cell>
          <cell r="L4" t="str">
            <v>1.352.277,23</v>
          </cell>
        </row>
        <row r="5">
          <cell r="D5" t="str">
            <v>0,00</v>
          </cell>
          <cell r="L5" t="str">
            <v>0,00</v>
          </cell>
        </row>
        <row r="6">
          <cell r="D6" t="str">
            <v>124.343,39</v>
          </cell>
          <cell r="L6" t="str">
            <v>0,00</v>
          </cell>
        </row>
        <row r="7">
          <cell r="L7" t="str">
            <v>124.463,60</v>
          </cell>
        </row>
        <row r="14">
          <cell r="L14" t="str">
            <v>-512.837,62</v>
          </cell>
        </row>
        <row r="17">
          <cell r="D17" t="str">
            <v>286.935,20</v>
          </cell>
          <cell r="L17" t="str">
            <v>50.689,36</v>
          </cell>
        </row>
        <row r="18">
          <cell r="L18" t="str">
            <v>0,00</v>
          </cell>
        </row>
        <row r="19">
          <cell r="L19" t="str">
            <v>0,00</v>
          </cell>
        </row>
        <row r="20">
          <cell r="L20" t="str">
            <v>0,00</v>
          </cell>
        </row>
        <row r="21">
          <cell r="L21" t="str">
            <v>164.935,75</v>
          </cell>
        </row>
        <row r="25">
          <cell r="D25" t="str">
            <v>118.044,79</v>
          </cell>
        </row>
        <row r="26">
          <cell r="L26" t="str">
            <v>0,00</v>
          </cell>
        </row>
        <row r="31">
          <cell r="L31" t="str">
            <v>0,00</v>
          </cell>
        </row>
        <row r="32">
          <cell r="L32" t="str">
            <v>0,00</v>
          </cell>
        </row>
        <row r="35">
          <cell r="D35" t="str">
            <v>0,00</v>
          </cell>
        </row>
        <row r="36">
          <cell r="D36" t="str">
            <v>0,00</v>
          </cell>
          <cell r="L36" t="str">
            <v>0,00</v>
          </cell>
        </row>
        <row r="37">
          <cell r="D37" t="str">
            <v>0,00</v>
          </cell>
        </row>
        <row r="38">
          <cell r="D38" t="str">
            <v>3.945.289,87</v>
          </cell>
        </row>
        <row r="39">
          <cell r="D39" t="str">
            <v>0,00</v>
          </cell>
          <cell r="L39" t="str">
            <v>0,00</v>
          </cell>
        </row>
        <row r="40">
          <cell r="D40" t="str">
            <v>0,00</v>
          </cell>
        </row>
        <row r="42">
          <cell r="L42" t="str">
            <v>0,00</v>
          </cell>
        </row>
        <row r="47">
          <cell r="L47" t="str">
            <v>0,00</v>
          </cell>
        </row>
        <row r="48">
          <cell r="D48" t="str">
            <v>3.225.944,49</v>
          </cell>
        </row>
        <row r="51">
          <cell r="L51" t="str">
            <v>0,00</v>
          </cell>
        </row>
        <row r="52">
          <cell r="L52" t="str">
            <v>3.295.084,92</v>
          </cell>
        </row>
        <row r="53">
          <cell r="L53" t="str">
            <v>0,00</v>
          </cell>
        </row>
        <row r="56">
          <cell r="D56" t="str">
            <v>24.274,88</v>
          </cell>
        </row>
        <row r="58">
          <cell r="L58" t="str">
            <v>726.954,19</v>
          </cell>
        </row>
        <row r="62">
          <cell r="L62" t="str">
            <v>0,00</v>
          </cell>
        </row>
        <row r="65">
          <cell r="D65" t="str">
            <v>0,00</v>
          </cell>
          <cell r="L65" t="str">
            <v>995.360,19</v>
          </cell>
        </row>
        <row r="66">
          <cell r="D66" t="str">
            <v>672.815,02</v>
          </cell>
        </row>
        <row r="67">
          <cell r="D67" t="str">
            <v>22.255,48</v>
          </cell>
        </row>
        <row r="69">
          <cell r="L69" t="str">
            <v>1.543.050,50</v>
          </cell>
        </row>
        <row r="75">
          <cell r="L75" t="str">
            <v>0,00</v>
          </cell>
        </row>
        <row r="76">
          <cell r="L76" t="str">
            <v>29.720,05</v>
          </cell>
        </row>
        <row r="77">
          <cell r="L77" t="str">
            <v>0,00</v>
          </cell>
        </row>
      </sheetData>
      <sheetData sheetId="2">
        <row r="4">
          <cell r="D4" t="str">
            <v>0,00</v>
          </cell>
          <cell r="L4" t="str">
            <v>3.053.856,69</v>
          </cell>
        </row>
        <row r="5">
          <cell r="D5" t="str">
            <v>2.762.576,18</v>
          </cell>
        </row>
        <row r="9">
          <cell r="L9" t="str">
            <v>0,00</v>
          </cell>
        </row>
        <row r="10">
          <cell r="L10" t="str">
            <v>0,00</v>
          </cell>
        </row>
        <row r="11">
          <cell r="D11" t="str">
            <v>1.632.643,37</v>
          </cell>
          <cell r="L11" t="str">
            <v>4.610.063,35</v>
          </cell>
        </row>
        <row r="12">
          <cell r="D12" t="str">
            <v>218.750,38</v>
          </cell>
        </row>
        <row r="13">
          <cell r="D13" t="str">
            <v>108.458,64</v>
          </cell>
        </row>
        <row r="14">
          <cell r="D14" t="str">
            <v>19.731,23</v>
          </cell>
        </row>
        <row r="16">
          <cell r="L16" t="str">
            <v>0,00</v>
          </cell>
        </row>
        <row r="18">
          <cell r="D18" t="str">
            <v>2.952.207,52</v>
          </cell>
        </row>
        <row r="20">
          <cell r="L20" t="str">
            <v>0,00</v>
          </cell>
        </row>
        <row r="24">
          <cell r="D24" t="str">
            <v>26.234,18</v>
          </cell>
          <cell r="L24" t="str">
            <v>61.237,12</v>
          </cell>
        </row>
        <row r="29">
          <cell r="D29" t="str">
            <v>0,00</v>
          </cell>
          <cell r="L29" t="str">
            <v>6.941,69</v>
          </cell>
        </row>
        <row r="30">
          <cell r="D30" t="str">
            <v>53.928,82</v>
          </cell>
        </row>
        <row r="32">
          <cell r="L32" t="str">
            <v>32.791,22</v>
          </cell>
        </row>
        <row r="33">
          <cell r="D33" t="str">
            <v>0,00</v>
          </cell>
          <cell r="L33" t="str">
            <v>0,00</v>
          </cell>
        </row>
        <row r="34">
          <cell r="D34" t="str">
            <v>0,00</v>
          </cell>
          <cell r="L34" t="str">
            <v>42.088,88</v>
          </cell>
        </row>
        <row r="35">
          <cell r="D35" t="str">
            <v>0,00</v>
          </cell>
          <cell r="L35" t="str">
            <v>7.380,43</v>
          </cell>
        </row>
        <row r="36">
          <cell r="D36" t="str">
            <v>4.086,88</v>
          </cell>
          <cell r="L36" t="str">
            <v>16.010,96</v>
          </cell>
        </row>
        <row r="37">
          <cell r="D37" t="str">
            <v>1.063,79</v>
          </cell>
        </row>
        <row r="40">
          <cell r="D40" t="str">
            <v>0,00</v>
          </cell>
        </row>
        <row r="41">
          <cell r="D41" t="str">
            <v>0,00</v>
          </cell>
        </row>
      </sheetData>
      <sheetData sheetId="3">
        <row r="6">
          <cell r="D6">
            <v>49</v>
          </cell>
        </row>
        <row r="10">
          <cell r="H1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8.670.993,95</v>
          </cell>
        </row>
        <row r="4">
          <cell r="D4" t="str">
            <v>27.356.688,66</v>
          </cell>
          <cell r="L4" t="str">
            <v>8.714.675,51</v>
          </cell>
        </row>
        <row r="5">
          <cell r="D5" t="str">
            <v>98.535,93</v>
          </cell>
          <cell r="L5" t="str">
            <v>0,00</v>
          </cell>
        </row>
        <row r="6">
          <cell r="D6" t="str">
            <v>858.533,77</v>
          </cell>
          <cell r="L6" t="str">
            <v>0,00</v>
          </cell>
        </row>
        <row r="7">
          <cell r="L7" t="str">
            <v>0,00</v>
          </cell>
        </row>
        <row r="14">
          <cell r="L14" t="str">
            <v>-43.681,56</v>
          </cell>
        </row>
        <row r="17">
          <cell r="D17" t="str">
            <v>26.399.618,96</v>
          </cell>
          <cell r="L17" t="str">
            <v>-2.567.409,52</v>
          </cell>
        </row>
        <row r="18">
          <cell r="L18" t="str">
            <v>2.567.409,52</v>
          </cell>
        </row>
        <row r="19">
          <cell r="L19" t="str">
            <v>0,00</v>
          </cell>
        </row>
        <row r="20">
          <cell r="L20" t="str">
            <v>0,00</v>
          </cell>
        </row>
        <row r="21">
          <cell r="L21" t="str">
            <v>10.442.218,70</v>
          </cell>
        </row>
        <row r="25">
          <cell r="D25" t="str">
            <v>0,00</v>
          </cell>
        </row>
        <row r="26">
          <cell r="L26" t="str">
            <v>0,00</v>
          </cell>
        </row>
        <row r="31">
          <cell r="L31" t="str">
            <v>0,00</v>
          </cell>
        </row>
        <row r="32">
          <cell r="L32" t="str">
            <v>0,00</v>
          </cell>
        </row>
        <row r="35">
          <cell r="D35" t="str">
            <v>0,00</v>
          </cell>
        </row>
        <row r="36">
          <cell r="D36" t="str">
            <v>0,00</v>
          </cell>
          <cell r="L36" t="str">
            <v>0,00</v>
          </cell>
        </row>
        <row r="37">
          <cell r="D37" t="str">
            <v>18,03</v>
          </cell>
        </row>
        <row r="38">
          <cell r="D38" t="str">
            <v>5.365.679,80</v>
          </cell>
        </row>
        <row r="39">
          <cell r="D39" t="str">
            <v>0,00</v>
          </cell>
          <cell r="L39" t="str">
            <v>0,00</v>
          </cell>
        </row>
        <row r="40">
          <cell r="D40" t="str">
            <v>1.586,67</v>
          </cell>
        </row>
        <row r="42">
          <cell r="L42" t="str">
            <v>0,00</v>
          </cell>
        </row>
        <row r="47">
          <cell r="L47" t="str">
            <v>0,00</v>
          </cell>
        </row>
        <row r="48">
          <cell r="D48" t="str">
            <v>770.731,91</v>
          </cell>
        </row>
        <row r="51">
          <cell r="L51" t="str">
            <v>0,00</v>
          </cell>
        </row>
        <row r="52">
          <cell r="L52" t="str">
            <v>13.609.173,85</v>
          </cell>
        </row>
        <row r="53">
          <cell r="L53" t="str">
            <v>0,00</v>
          </cell>
        </row>
        <row r="56">
          <cell r="D56" t="str">
            <v>3.953.397,52</v>
          </cell>
        </row>
        <row r="58">
          <cell r="L58" t="str">
            <v>0,00</v>
          </cell>
        </row>
        <row r="62">
          <cell r="L62" t="str">
            <v>0,00</v>
          </cell>
        </row>
        <row r="65">
          <cell r="D65" t="str">
            <v>0,00</v>
          </cell>
          <cell r="L65" t="str">
            <v>304.208,29</v>
          </cell>
        </row>
        <row r="66">
          <cell r="D66" t="str">
            <v>637.872,18</v>
          </cell>
        </row>
        <row r="67">
          <cell r="D67" t="str">
            <v>2.091,52</v>
          </cell>
        </row>
        <row r="69">
          <cell r="L69" t="str">
            <v>13.304.370,56</v>
          </cell>
        </row>
        <row r="75">
          <cell r="L75" t="str">
            <v>595,00</v>
          </cell>
        </row>
        <row r="76">
          <cell r="L76" t="str">
            <v>0,00</v>
          </cell>
        </row>
        <row r="77">
          <cell r="L77" t="str">
            <v>0,00</v>
          </cell>
        </row>
      </sheetData>
      <sheetData sheetId="2">
        <row r="4">
          <cell r="D4" t="str">
            <v>0,00</v>
          </cell>
          <cell r="L4" t="str">
            <v>0,00</v>
          </cell>
        </row>
        <row r="5">
          <cell r="D5" t="str">
            <v>3.690,21</v>
          </cell>
        </row>
        <row r="9">
          <cell r="L9" t="str">
            <v>0,00</v>
          </cell>
        </row>
        <row r="10">
          <cell r="L10" t="str">
            <v>0,00</v>
          </cell>
        </row>
        <row r="11">
          <cell r="D11" t="str">
            <v>307.321,53</v>
          </cell>
          <cell r="L11" t="str">
            <v>121.019,80</v>
          </cell>
        </row>
        <row r="12">
          <cell r="D12" t="str">
            <v>77.212,03</v>
          </cell>
        </row>
        <row r="13">
          <cell r="D13" t="str">
            <v>1.104.798,48</v>
          </cell>
        </row>
        <row r="14">
          <cell r="D14" t="str">
            <v>595,00</v>
          </cell>
        </row>
        <row r="16">
          <cell r="L16" t="str">
            <v>0,00</v>
          </cell>
        </row>
        <row r="18">
          <cell r="D18" t="str">
            <v>1.143.677,95</v>
          </cell>
        </row>
        <row r="20">
          <cell r="L20" t="str">
            <v>0,00</v>
          </cell>
        </row>
        <row r="24">
          <cell r="D24" t="str">
            <v>254.101,91</v>
          </cell>
          <cell r="L24" t="str">
            <v>140.270,22</v>
          </cell>
        </row>
        <row r="29">
          <cell r="D29" t="str">
            <v>0,00</v>
          </cell>
          <cell r="L29" t="str">
            <v>2.464,15</v>
          </cell>
        </row>
        <row r="30">
          <cell r="D30" t="str">
            <v>1.159,95</v>
          </cell>
        </row>
        <row r="32">
          <cell r="L32" t="str">
            <v>0,00</v>
          </cell>
        </row>
        <row r="33">
          <cell r="D33" t="str">
            <v>0,00</v>
          </cell>
          <cell r="L33" t="str">
            <v>0,00</v>
          </cell>
        </row>
        <row r="34">
          <cell r="D34" t="str">
            <v>3.485.221,11</v>
          </cell>
          <cell r="L34" t="str">
            <v>3.555.473,42</v>
          </cell>
        </row>
        <row r="35">
          <cell r="D35" t="str">
            <v>0,00</v>
          </cell>
          <cell r="L35" t="str">
            <v>9.243,57</v>
          </cell>
        </row>
        <row r="36">
          <cell r="D36" t="str">
            <v>18.102,48</v>
          </cell>
          <cell r="L36" t="str">
            <v>10.692,01</v>
          </cell>
        </row>
        <row r="37">
          <cell r="D37" t="str">
            <v>10.692,01</v>
          </cell>
        </row>
        <row r="40">
          <cell r="D40" t="str">
            <v>0,00</v>
          </cell>
        </row>
        <row r="41">
          <cell r="D41" t="str">
            <v>0,00</v>
          </cell>
        </row>
      </sheetData>
      <sheetData sheetId="3">
        <row r="6">
          <cell r="D6">
            <v>10</v>
          </cell>
        </row>
        <row r="10">
          <cell r="H10">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1211"/>
      <sheetName val="Acerno_Cache_XXXXX"/>
      <sheetName val="2211"/>
      <sheetName val="8200"/>
    </sheetNames>
    <sheetDataSet>
      <sheetData sheetId="0"/>
      <sheetData sheetId="1">
        <row r="3">
          <cell r="D3" t="str">
            <v>0,00</v>
          </cell>
          <cell r="L3" t="str">
            <v>150.384,83</v>
          </cell>
        </row>
        <row r="4">
          <cell r="D4" t="str">
            <v>95.590,43</v>
          </cell>
          <cell r="L4" t="str">
            <v>150.253,03</v>
          </cell>
        </row>
        <row r="5">
          <cell r="D5" t="str">
            <v>95.590,43</v>
          </cell>
          <cell r="L5" t="str">
            <v>0,00</v>
          </cell>
        </row>
        <row r="6">
          <cell r="D6" t="str">
            <v>0,00</v>
          </cell>
          <cell r="L6" t="str">
            <v>0,00</v>
          </cell>
        </row>
        <row r="7">
          <cell r="L7" t="str">
            <v>86,43</v>
          </cell>
        </row>
        <row r="14">
          <cell r="L14" t="str">
            <v>0,00</v>
          </cell>
        </row>
        <row r="17">
          <cell r="D17" t="str">
            <v>0,00</v>
          </cell>
          <cell r="L17" t="str">
            <v>45,38</v>
          </cell>
        </row>
        <row r="18">
          <cell r="L18" t="str">
            <v>0,00</v>
          </cell>
        </row>
        <row r="19">
          <cell r="L19" t="str">
            <v>0,00</v>
          </cell>
        </row>
        <row r="20">
          <cell r="L20" t="str">
            <v>0,00</v>
          </cell>
        </row>
        <row r="21">
          <cell r="L21" t="str">
            <v>0,00</v>
          </cell>
        </row>
        <row r="25">
          <cell r="D25" t="str">
            <v>0,00</v>
          </cell>
        </row>
        <row r="26">
          <cell r="L26" t="str">
            <v>0,00</v>
          </cell>
        </row>
        <row r="31">
          <cell r="L31" t="str">
            <v>0,00</v>
          </cell>
        </row>
        <row r="35">
          <cell r="D35" t="str">
            <v>0,00</v>
          </cell>
        </row>
        <row r="36">
          <cell r="D36" t="str">
            <v>0,00</v>
          </cell>
        </row>
        <row r="37">
          <cell r="D37" t="str">
            <v>0,00</v>
          </cell>
        </row>
        <row r="38">
          <cell r="D38" t="str">
            <v>72.768,57</v>
          </cell>
        </row>
        <row r="39">
          <cell r="D39" t="str">
            <v>0,00</v>
          </cell>
        </row>
        <row r="40">
          <cell r="D40" t="str">
            <v>0,00</v>
          </cell>
        </row>
        <row r="48">
          <cell r="D48" t="str">
            <v>14.497,82</v>
          </cell>
        </row>
        <row r="52">
          <cell r="L52" t="str">
            <v>17.974,17</v>
          </cell>
        </row>
        <row r="56">
          <cell r="D56" t="str">
            <v>0,00</v>
          </cell>
        </row>
        <row r="65">
          <cell r="D65" t="str">
            <v>0,00</v>
          </cell>
        </row>
        <row r="66">
          <cell r="D66" t="str">
            <v>58.270,75</v>
          </cell>
        </row>
        <row r="67">
          <cell r="D67" t="str">
            <v>0,00</v>
          </cell>
        </row>
        <row r="77">
          <cell r="L77" t="str">
            <v>0,00</v>
          </cell>
        </row>
      </sheetData>
      <sheetData sheetId="2"/>
      <sheetData sheetId="3">
        <row r="5">
          <cell r="D5" t="str">
            <v>0,00</v>
          </cell>
          <cell r="L5" t="str">
            <v>0,00</v>
          </cell>
        </row>
        <row r="6">
          <cell r="L6" t="str">
            <v>0,00</v>
          </cell>
        </row>
        <row r="10">
          <cell r="D10" t="str">
            <v>0,00</v>
          </cell>
        </row>
        <row r="11">
          <cell r="D11" t="str">
            <v>0,00</v>
          </cell>
        </row>
        <row r="12">
          <cell r="D12" t="str">
            <v>0,00</v>
          </cell>
        </row>
        <row r="13">
          <cell r="D13" t="str">
            <v>0,00</v>
          </cell>
        </row>
        <row r="15">
          <cell r="L15" t="str">
            <v>0,00</v>
          </cell>
        </row>
        <row r="17">
          <cell r="D17" t="str">
            <v>0,00</v>
          </cell>
        </row>
        <row r="19">
          <cell r="L19" t="str">
            <v>0,00</v>
          </cell>
        </row>
        <row r="23">
          <cell r="D23" t="str">
            <v>0,00</v>
          </cell>
          <cell r="L23" t="str">
            <v>69,81</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row>
        <row r="39">
          <cell r="D39" t="str">
            <v>24,43</v>
          </cell>
        </row>
        <row r="40">
          <cell r="D40" t="str">
            <v>0,00</v>
          </cell>
        </row>
      </sheetData>
      <sheetData sheetId="4">
        <row r="6">
          <cell r="D6">
            <v>0</v>
          </cell>
        </row>
        <row r="10">
          <cell r="H10">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0,00</v>
          </cell>
          <cell r="L3" t="str">
            <v>1.353.124,66</v>
          </cell>
        </row>
        <row r="4">
          <cell r="D4" t="str">
            <v>12.579,18</v>
          </cell>
          <cell r="L4" t="str">
            <v>1.202.024,21</v>
          </cell>
        </row>
        <row r="5">
          <cell r="D5" t="str">
            <v>7.043,86</v>
          </cell>
          <cell r="L5" t="str">
            <v>0,00</v>
          </cell>
        </row>
        <row r="6">
          <cell r="D6" t="str">
            <v>0,00</v>
          </cell>
          <cell r="L6" t="str">
            <v>0,00</v>
          </cell>
        </row>
        <row r="7">
          <cell r="L7" t="str">
            <v>0,00</v>
          </cell>
        </row>
        <row r="14">
          <cell r="L14" t="str">
            <v>-174.371,64</v>
          </cell>
        </row>
        <row r="17">
          <cell r="D17" t="str">
            <v>4.693,90</v>
          </cell>
          <cell r="L17" t="str">
            <v>325.472,10</v>
          </cell>
        </row>
        <row r="18">
          <cell r="L18" t="str">
            <v>0,00</v>
          </cell>
        </row>
        <row r="19">
          <cell r="L19" t="str">
            <v>0,00</v>
          </cell>
        </row>
        <row r="20">
          <cell r="L20" t="str">
            <v>0,00</v>
          </cell>
        </row>
        <row r="21">
          <cell r="L21" t="str">
            <v>316.583,13</v>
          </cell>
        </row>
        <row r="25">
          <cell r="D25" t="str">
            <v>841,42</v>
          </cell>
        </row>
        <row r="26">
          <cell r="L26" t="str">
            <v>0,00</v>
          </cell>
        </row>
        <row r="31">
          <cell r="L31" t="str">
            <v>12.020.242,09</v>
          </cell>
        </row>
        <row r="35">
          <cell r="D35" t="str">
            <v>0,00</v>
          </cell>
        </row>
        <row r="36">
          <cell r="D36" t="str">
            <v>0,00</v>
          </cell>
        </row>
        <row r="37">
          <cell r="D37" t="str">
            <v>0,00</v>
          </cell>
        </row>
        <row r="38">
          <cell r="D38" t="str">
            <v>13.773.893,24</v>
          </cell>
        </row>
        <row r="39">
          <cell r="D39" t="str">
            <v>0,00</v>
          </cell>
        </row>
        <row r="40">
          <cell r="D40" t="str">
            <v>4.210.672,77</v>
          </cell>
        </row>
        <row r="48">
          <cell r="D48" t="str">
            <v>33.638,65</v>
          </cell>
        </row>
        <row r="52">
          <cell r="L52" t="str">
            <v>96.522,54</v>
          </cell>
        </row>
        <row r="56">
          <cell r="D56" t="str">
            <v>9.267.258,06</v>
          </cell>
        </row>
        <row r="65">
          <cell r="D65" t="str">
            <v>0,00</v>
          </cell>
        </row>
        <row r="66">
          <cell r="D66" t="str">
            <v>262.323,75</v>
          </cell>
        </row>
        <row r="67">
          <cell r="D67" t="str">
            <v>0,00</v>
          </cell>
        </row>
        <row r="77">
          <cell r="L77" t="str">
            <v>0,00</v>
          </cell>
        </row>
      </sheetData>
      <sheetData sheetId="2">
        <row r="5">
          <cell r="D5" t="str">
            <v>-4.663,85</v>
          </cell>
          <cell r="L5" t="str">
            <v>0,00</v>
          </cell>
        </row>
        <row r="6">
          <cell r="L6" t="str">
            <v>0,00</v>
          </cell>
        </row>
        <row r="10">
          <cell r="D10" t="str">
            <v>45.508,64</v>
          </cell>
        </row>
        <row r="11">
          <cell r="D11" t="str">
            <v>8.305,99</v>
          </cell>
        </row>
        <row r="12">
          <cell r="D12" t="str">
            <v>5.222,80</v>
          </cell>
        </row>
        <row r="13">
          <cell r="D13" t="str">
            <v>0,00</v>
          </cell>
        </row>
        <row r="15">
          <cell r="L15" t="str">
            <v>0,00</v>
          </cell>
        </row>
        <row r="17">
          <cell r="D17" t="str">
            <v>19.166,28</v>
          </cell>
        </row>
        <row r="19">
          <cell r="L19" t="str">
            <v>0,00</v>
          </cell>
        </row>
        <row r="23">
          <cell r="D23" t="str">
            <v>818.764,80</v>
          </cell>
          <cell r="L23" t="str">
            <v>1.306.341,88</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204,34</v>
          </cell>
        </row>
        <row r="36">
          <cell r="D36" t="str">
            <v>0,00</v>
          </cell>
        </row>
        <row r="39">
          <cell r="D39" t="str">
            <v>88.769,49</v>
          </cell>
        </row>
        <row r="40">
          <cell r="D40" t="str">
            <v>0,00</v>
          </cell>
        </row>
      </sheetData>
      <sheetData sheetId="3">
        <row r="6">
          <cell r="D6">
            <v>1</v>
          </cell>
        </row>
        <row r="10">
          <cell r="H10">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0,00</v>
          </cell>
          <cell r="L3" t="str">
            <v>22.253.206,40</v>
          </cell>
        </row>
        <row r="4">
          <cell r="D4" t="str">
            <v>12.824.107,80</v>
          </cell>
          <cell r="L4" t="str">
            <v>22.357.650,28</v>
          </cell>
        </row>
        <row r="5">
          <cell r="D5" t="str">
            <v>0,00</v>
          </cell>
          <cell r="L5" t="str">
            <v>0,00</v>
          </cell>
        </row>
        <row r="6">
          <cell r="D6" t="str">
            <v>0,00</v>
          </cell>
          <cell r="L6" t="str">
            <v>0,00</v>
          </cell>
        </row>
        <row r="7">
          <cell r="L7" t="str">
            <v>98.409,72</v>
          </cell>
        </row>
        <row r="14">
          <cell r="L14" t="str">
            <v>-270.665,80</v>
          </cell>
        </row>
        <row r="17">
          <cell r="D17" t="str">
            <v>12.824.107,80</v>
          </cell>
          <cell r="L17" t="str">
            <v>67.812,20</v>
          </cell>
        </row>
        <row r="18">
          <cell r="L18" t="str">
            <v>0,00</v>
          </cell>
        </row>
        <row r="19">
          <cell r="L19" t="str">
            <v>0,00</v>
          </cell>
        </row>
        <row r="20">
          <cell r="L20" t="str">
            <v>0,00</v>
          </cell>
        </row>
        <row r="21">
          <cell r="L21" t="str">
            <v>0,00</v>
          </cell>
        </row>
        <row r="25">
          <cell r="D25" t="str">
            <v>0,00</v>
          </cell>
        </row>
        <row r="26">
          <cell r="L26" t="str">
            <v>130.642,00</v>
          </cell>
        </row>
        <row r="31">
          <cell r="L31" t="str">
            <v>1.043.537,32</v>
          </cell>
        </row>
        <row r="35">
          <cell r="D35" t="str">
            <v>0,00</v>
          </cell>
        </row>
        <row r="36">
          <cell r="D36" t="str">
            <v>0,00</v>
          </cell>
        </row>
        <row r="37">
          <cell r="D37" t="str">
            <v>36.409,31</v>
          </cell>
        </row>
        <row r="38">
          <cell r="D38" t="str">
            <v>10.645.967,81</v>
          </cell>
        </row>
        <row r="39">
          <cell r="D39" t="str">
            <v>0,00</v>
          </cell>
        </row>
        <row r="40">
          <cell r="D40" t="str">
            <v>0,00</v>
          </cell>
        </row>
        <row r="48">
          <cell r="D48" t="str">
            <v>437.001,91</v>
          </cell>
        </row>
        <row r="52">
          <cell r="L52" t="str">
            <v>79.099,20</v>
          </cell>
        </row>
        <row r="56">
          <cell r="D56" t="str">
            <v>10.200.070,92</v>
          </cell>
        </row>
        <row r="65">
          <cell r="D65" t="str">
            <v>0,00</v>
          </cell>
        </row>
        <row r="66">
          <cell r="D66" t="str">
            <v>8.894,98</v>
          </cell>
        </row>
        <row r="67">
          <cell r="D67" t="str">
            <v>0,00</v>
          </cell>
        </row>
        <row r="77">
          <cell r="L77" t="str">
            <v>0,00</v>
          </cell>
        </row>
      </sheetData>
      <sheetData sheetId="2">
        <row r="5">
          <cell r="D5" t="str">
            <v>0,00</v>
          </cell>
          <cell r="L5" t="str">
            <v>0,00</v>
          </cell>
        </row>
        <row r="6">
          <cell r="L6" t="str">
            <v>3.768,35</v>
          </cell>
        </row>
        <row r="10">
          <cell r="D10" t="str">
            <v>0,00</v>
          </cell>
        </row>
        <row r="11">
          <cell r="D11" t="str">
            <v>0,00</v>
          </cell>
        </row>
        <row r="12">
          <cell r="D12" t="str">
            <v>0,00</v>
          </cell>
        </row>
        <row r="13">
          <cell r="D13" t="str">
            <v>0,00</v>
          </cell>
        </row>
        <row r="15">
          <cell r="L15" t="str">
            <v>0,00</v>
          </cell>
        </row>
        <row r="17">
          <cell r="D17" t="str">
            <v>923.797,68</v>
          </cell>
        </row>
        <row r="19">
          <cell r="L19" t="str">
            <v>0,00</v>
          </cell>
        </row>
        <row r="23">
          <cell r="D23" t="str">
            <v>0,00</v>
          </cell>
          <cell r="L23" t="str">
            <v>1.012.410,90</v>
          </cell>
        </row>
        <row r="28">
          <cell r="D28" t="str">
            <v>0,00</v>
          </cell>
          <cell r="L28" t="str">
            <v>0,00</v>
          </cell>
        </row>
        <row r="29">
          <cell r="D29" t="str">
            <v>0,00</v>
          </cell>
        </row>
        <row r="31">
          <cell r="L31" t="str">
            <v>0,00</v>
          </cell>
        </row>
        <row r="32">
          <cell r="D32" t="str">
            <v>353.593,45</v>
          </cell>
          <cell r="L32" t="str">
            <v>0,00</v>
          </cell>
        </row>
        <row r="33">
          <cell r="D33" t="str">
            <v>0,00</v>
          </cell>
          <cell r="L33" t="str">
            <v>0,00</v>
          </cell>
        </row>
        <row r="34">
          <cell r="D34" t="str">
            <v>0,00</v>
          </cell>
          <cell r="L34" t="str">
            <v>410.190,76</v>
          </cell>
        </row>
        <row r="35">
          <cell r="D35" t="str">
            <v>0,00</v>
          </cell>
          <cell r="L35" t="str">
            <v>0,00</v>
          </cell>
        </row>
        <row r="36">
          <cell r="D36" t="str">
            <v>0,00</v>
          </cell>
        </row>
        <row r="39">
          <cell r="D39" t="str">
            <v>81.166,68</v>
          </cell>
        </row>
        <row r="40">
          <cell r="D40" t="str">
            <v>0,00</v>
          </cell>
        </row>
      </sheetData>
      <sheetData sheetId="3">
        <row r="6">
          <cell r="D6">
            <v>0</v>
          </cell>
        </row>
        <row r="10">
          <cell r="H10">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180.303,63</v>
          </cell>
          <cell r="L3" t="str">
            <v>554.000,99</v>
          </cell>
        </row>
        <row r="4">
          <cell r="D4" t="str">
            <v>63.174,12</v>
          </cell>
          <cell r="L4" t="str">
            <v>540.910,89</v>
          </cell>
        </row>
        <row r="5">
          <cell r="D5" t="str">
            <v>0,00</v>
          </cell>
          <cell r="L5" t="str">
            <v>0,00</v>
          </cell>
        </row>
        <row r="6">
          <cell r="D6" t="str">
            <v>0,00</v>
          </cell>
          <cell r="L6" t="str">
            <v>0,00</v>
          </cell>
        </row>
        <row r="7">
          <cell r="L7" t="str">
            <v>13.090,10</v>
          </cell>
        </row>
        <row r="14">
          <cell r="L14" t="str">
            <v>398,33</v>
          </cell>
        </row>
        <row r="17">
          <cell r="D17" t="str">
            <v>63.154,89</v>
          </cell>
          <cell r="L17" t="str">
            <v>-398,33</v>
          </cell>
        </row>
        <row r="18">
          <cell r="L18" t="str">
            <v>0,00</v>
          </cell>
        </row>
        <row r="19">
          <cell r="L19" t="str">
            <v>0,00</v>
          </cell>
        </row>
        <row r="20">
          <cell r="L20" t="str">
            <v>0,00</v>
          </cell>
        </row>
        <row r="21">
          <cell r="L21" t="str">
            <v>36.779,29</v>
          </cell>
        </row>
        <row r="25">
          <cell r="D25" t="str">
            <v>19,23</v>
          </cell>
        </row>
        <row r="26">
          <cell r="L26" t="str">
            <v>0,00</v>
          </cell>
        </row>
        <row r="31">
          <cell r="L31" t="str">
            <v>0,00</v>
          </cell>
        </row>
        <row r="32">
          <cell r="L32" t="str">
            <v>0,00</v>
          </cell>
        </row>
        <row r="35">
          <cell r="D35" t="str">
            <v>0,00</v>
          </cell>
        </row>
        <row r="36">
          <cell r="D36" t="str">
            <v>0,00</v>
          </cell>
          <cell r="L36" t="str">
            <v>0,00</v>
          </cell>
        </row>
        <row r="37">
          <cell r="D37" t="str">
            <v>0,00</v>
          </cell>
        </row>
        <row r="38">
          <cell r="D38" t="str">
            <v>629.859,93</v>
          </cell>
        </row>
        <row r="39">
          <cell r="D39" t="str">
            <v>0,00</v>
          </cell>
          <cell r="L39" t="str">
            <v>0,00</v>
          </cell>
        </row>
        <row r="40">
          <cell r="D40" t="str">
            <v>0,00</v>
          </cell>
        </row>
        <row r="42">
          <cell r="L42" t="str">
            <v>0,00</v>
          </cell>
        </row>
        <row r="47">
          <cell r="L47" t="str">
            <v>0,00</v>
          </cell>
        </row>
        <row r="48">
          <cell r="D48" t="str">
            <v>326.612,51</v>
          </cell>
        </row>
        <row r="51">
          <cell r="L51" t="str">
            <v>0,00</v>
          </cell>
        </row>
        <row r="52">
          <cell r="L52" t="str">
            <v>282.557,40</v>
          </cell>
        </row>
        <row r="53">
          <cell r="L53" t="str">
            <v>0,00</v>
          </cell>
        </row>
        <row r="56">
          <cell r="D56" t="str">
            <v>210.354,24</v>
          </cell>
        </row>
        <row r="58">
          <cell r="L58" t="str">
            <v>219,10</v>
          </cell>
        </row>
        <row r="62">
          <cell r="L62" t="str">
            <v>76.903,24</v>
          </cell>
        </row>
        <row r="65">
          <cell r="D65" t="str">
            <v>0,00</v>
          </cell>
          <cell r="L65" t="str">
            <v>149.072,18</v>
          </cell>
        </row>
        <row r="66">
          <cell r="D66" t="str">
            <v>81.157,95</v>
          </cell>
        </row>
        <row r="67">
          <cell r="D67" t="str">
            <v>11.735,24</v>
          </cell>
        </row>
        <row r="69">
          <cell r="L69" t="str">
            <v>56.348,59</v>
          </cell>
        </row>
        <row r="75">
          <cell r="L75" t="str">
            <v>0,00</v>
          </cell>
        </row>
        <row r="76">
          <cell r="L76" t="str">
            <v>14,29</v>
          </cell>
        </row>
        <row r="77">
          <cell r="L77" t="str">
            <v>0,00</v>
          </cell>
        </row>
      </sheetData>
      <sheetData sheetId="2">
        <row r="5">
          <cell r="D5" t="str">
            <v>53.989,75</v>
          </cell>
          <cell r="L5" t="str">
            <v>462.387,93</v>
          </cell>
        </row>
        <row r="6">
          <cell r="L6" t="str">
            <v>245.751,23</v>
          </cell>
        </row>
        <row r="10">
          <cell r="D10" t="str">
            <v>197.797,99</v>
          </cell>
        </row>
        <row r="11">
          <cell r="D11" t="str">
            <v>57.254,50</v>
          </cell>
        </row>
        <row r="12">
          <cell r="D12" t="str">
            <v>33.324,70</v>
          </cell>
        </row>
        <row r="13">
          <cell r="D13" t="str">
            <v>0,00</v>
          </cell>
        </row>
        <row r="15">
          <cell r="L15" t="str">
            <v>0,00</v>
          </cell>
        </row>
        <row r="17">
          <cell r="D17" t="str">
            <v>413.988,92</v>
          </cell>
        </row>
        <row r="19">
          <cell r="L19" t="str">
            <v>0,00</v>
          </cell>
        </row>
        <row r="23">
          <cell r="D23" t="str">
            <v>1.162,19</v>
          </cell>
          <cell r="L23" t="str">
            <v>25.893,45</v>
          </cell>
        </row>
        <row r="28">
          <cell r="D28" t="str">
            <v>0,00</v>
          </cell>
          <cell r="L28" t="str">
            <v>0,69</v>
          </cell>
        </row>
        <row r="29">
          <cell r="D29" t="str">
            <v>0,00</v>
          </cell>
        </row>
        <row r="31">
          <cell r="L31" t="str">
            <v>0,00</v>
          </cell>
        </row>
        <row r="32">
          <cell r="D32" t="str">
            <v>0,00</v>
          </cell>
          <cell r="L32" t="str">
            <v>0,00</v>
          </cell>
        </row>
        <row r="33">
          <cell r="D33" t="str">
            <v>783,93</v>
          </cell>
          <cell r="L33" t="str">
            <v>26.878,66</v>
          </cell>
        </row>
        <row r="34">
          <cell r="D34" t="str">
            <v>0,00</v>
          </cell>
          <cell r="L34" t="str">
            <v>0,00</v>
          </cell>
        </row>
        <row r="35">
          <cell r="D35" t="str">
            <v>96,31</v>
          </cell>
          <cell r="L35" t="str">
            <v>-2.309,49</v>
          </cell>
        </row>
        <row r="36">
          <cell r="D36" t="str">
            <v>204,16</v>
          </cell>
        </row>
        <row r="39">
          <cell r="D39" t="str">
            <v>398,33</v>
          </cell>
        </row>
        <row r="40">
          <cell r="D40" t="str">
            <v>0,00</v>
          </cell>
        </row>
      </sheetData>
      <sheetData sheetId="3">
        <row r="6">
          <cell r="D6">
            <v>12</v>
          </cell>
        </row>
        <row r="10">
          <cell r="H10">
            <v>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0,00</v>
          </cell>
          <cell r="L3" t="str">
            <v>150.253,03</v>
          </cell>
        </row>
        <row r="4">
          <cell r="D4" t="str">
            <v>855.757,09</v>
          </cell>
          <cell r="L4" t="str">
            <v>150.253,03</v>
          </cell>
        </row>
        <row r="5">
          <cell r="D5" t="str">
            <v>335.430,87</v>
          </cell>
          <cell r="L5" t="str">
            <v>0,00</v>
          </cell>
        </row>
        <row r="6">
          <cell r="D6" t="str">
            <v>45.526,67</v>
          </cell>
          <cell r="L6" t="str">
            <v>0,00</v>
          </cell>
        </row>
        <row r="7">
          <cell r="L7" t="str">
            <v>0,00</v>
          </cell>
        </row>
        <row r="14">
          <cell r="L14" t="str">
            <v>0,00</v>
          </cell>
        </row>
        <row r="17">
          <cell r="D17" t="str">
            <v>474.799,56</v>
          </cell>
          <cell r="L17" t="str">
            <v>0,00</v>
          </cell>
        </row>
        <row r="18">
          <cell r="L18" t="str">
            <v>0,00</v>
          </cell>
        </row>
        <row r="19">
          <cell r="L19" t="str">
            <v>0,00</v>
          </cell>
        </row>
        <row r="20">
          <cell r="L20" t="str">
            <v>0,00</v>
          </cell>
        </row>
        <row r="21">
          <cell r="L21" t="str">
            <v>0,00</v>
          </cell>
        </row>
        <row r="25">
          <cell r="D25" t="str">
            <v>0,00</v>
          </cell>
        </row>
        <row r="26">
          <cell r="L26" t="str">
            <v>0,00</v>
          </cell>
        </row>
        <row r="31">
          <cell r="L31" t="str">
            <v>0,00</v>
          </cell>
        </row>
        <row r="35">
          <cell r="D35" t="str">
            <v>0,00</v>
          </cell>
        </row>
        <row r="36">
          <cell r="D36" t="str">
            <v>0,00</v>
          </cell>
        </row>
        <row r="37">
          <cell r="D37" t="str">
            <v>0,00</v>
          </cell>
        </row>
        <row r="38">
          <cell r="D38" t="str">
            <v>131.399,28</v>
          </cell>
        </row>
        <row r="39">
          <cell r="D39" t="str">
            <v>0,00</v>
          </cell>
        </row>
        <row r="40">
          <cell r="D40" t="str">
            <v>0,00</v>
          </cell>
        </row>
        <row r="48">
          <cell r="D48" t="str">
            <v>120.863,53</v>
          </cell>
        </row>
        <row r="52">
          <cell r="L52" t="str">
            <v>836.903,35</v>
          </cell>
        </row>
        <row r="56">
          <cell r="D56" t="str">
            <v>0,00</v>
          </cell>
        </row>
        <row r="65">
          <cell r="D65" t="str">
            <v>0,00</v>
          </cell>
        </row>
        <row r="66">
          <cell r="D66" t="str">
            <v>10.535,74</v>
          </cell>
        </row>
        <row r="67">
          <cell r="D67" t="str">
            <v>0,00</v>
          </cell>
        </row>
        <row r="77">
          <cell r="L77" t="str">
            <v>0,00</v>
          </cell>
        </row>
      </sheetData>
      <sheetData sheetId="2">
        <row r="5">
          <cell r="D5" t="str">
            <v>0,00</v>
          </cell>
          <cell r="L5" t="str">
            <v>0,00</v>
          </cell>
        </row>
        <row r="6">
          <cell r="L6" t="str">
            <v>0,00</v>
          </cell>
        </row>
        <row r="10">
          <cell r="D10" t="str">
            <v>0,00</v>
          </cell>
        </row>
        <row r="11">
          <cell r="D11" t="str">
            <v>0,00</v>
          </cell>
        </row>
        <row r="12">
          <cell r="D12" t="str">
            <v>0,00</v>
          </cell>
        </row>
        <row r="13">
          <cell r="D13" t="str">
            <v>0,00</v>
          </cell>
        </row>
        <row r="15">
          <cell r="L15" t="str">
            <v>0,00</v>
          </cell>
        </row>
        <row r="17">
          <cell r="D17" t="str">
            <v>0,00</v>
          </cell>
        </row>
        <row r="19">
          <cell r="L19" t="str">
            <v>0,00</v>
          </cell>
        </row>
        <row r="23">
          <cell r="D23" t="str">
            <v>0,00</v>
          </cell>
          <cell r="L23" t="str">
            <v>0,00</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row>
        <row r="39">
          <cell r="D39" t="str">
            <v>0,00</v>
          </cell>
        </row>
        <row r="40">
          <cell r="D40" t="str">
            <v>0,00</v>
          </cell>
        </row>
      </sheetData>
      <sheetData sheetId="3">
        <row r="6">
          <cell r="D6">
            <v>0</v>
          </cell>
        </row>
        <row r="10">
          <cell r="H10">
            <v>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os"/>
      <sheetName val="1211"/>
      <sheetName val="Acerno_Cache_XXXXX"/>
      <sheetName val="2211"/>
      <sheetName val="8200"/>
    </sheetNames>
    <sheetDataSet>
      <sheetData sheetId="0"/>
      <sheetData sheetId="1">
        <row r="3">
          <cell r="D3" t="str">
            <v>2.704.554,47</v>
          </cell>
          <cell r="L3" t="str">
            <v>3.488.466,58</v>
          </cell>
        </row>
        <row r="4">
          <cell r="D4" t="str">
            <v>42.173,02</v>
          </cell>
          <cell r="L4" t="str">
            <v>3.606.072,63</v>
          </cell>
        </row>
        <row r="5">
          <cell r="D5" t="str">
            <v>35.525,83</v>
          </cell>
          <cell r="L5" t="str">
            <v>0,00</v>
          </cell>
        </row>
        <row r="6">
          <cell r="D6" t="str">
            <v>0,00</v>
          </cell>
          <cell r="L6" t="str">
            <v>0,00</v>
          </cell>
        </row>
        <row r="7">
          <cell r="L7" t="str">
            <v>3.978,70</v>
          </cell>
        </row>
        <row r="14">
          <cell r="L14" t="str">
            <v>-9.021,19</v>
          </cell>
        </row>
        <row r="17">
          <cell r="D17" t="str">
            <v>6.647,19</v>
          </cell>
          <cell r="L17" t="str">
            <v>-112.563,56</v>
          </cell>
        </row>
        <row r="18">
          <cell r="L18" t="str">
            <v>0,00</v>
          </cell>
        </row>
        <row r="19">
          <cell r="L19" t="str">
            <v>0,00</v>
          </cell>
        </row>
        <row r="20">
          <cell r="L20" t="str">
            <v>0,00</v>
          </cell>
        </row>
        <row r="21">
          <cell r="L21" t="str">
            <v>0,00</v>
          </cell>
        </row>
        <row r="25">
          <cell r="D25" t="str">
            <v>0,00</v>
          </cell>
        </row>
        <row r="26">
          <cell r="L26" t="str">
            <v>0,00</v>
          </cell>
        </row>
        <row r="31">
          <cell r="L31" t="str">
            <v>0,00</v>
          </cell>
        </row>
        <row r="35">
          <cell r="D35" t="str">
            <v>0,00</v>
          </cell>
        </row>
        <row r="36">
          <cell r="D36" t="str">
            <v>0,00</v>
          </cell>
        </row>
        <row r="37">
          <cell r="D37" t="str">
            <v>0,00</v>
          </cell>
        </row>
        <row r="38">
          <cell r="D38" t="str">
            <v>749.744,57</v>
          </cell>
        </row>
        <row r="39">
          <cell r="D39" t="str">
            <v>0,00</v>
          </cell>
        </row>
        <row r="40">
          <cell r="D40" t="str">
            <v>115.706,85</v>
          </cell>
        </row>
        <row r="48">
          <cell r="D48" t="str">
            <v>50.448,96</v>
          </cell>
        </row>
        <row r="52">
          <cell r="L52" t="str">
            <v>8.005,48</v>
          </cell>
        </row>
        <row r="56">
          <cell r="D56" t="str">
            <v>2.374,00</v>
          </cell>
        </row>
        <row r="65">
          <cell r="D65" t="str">
            <v>0,00</v>
          </cell>
        </row>
        <row r="66">
          <cell r="D66" t="str">
            <v>581.214,77</v>
          </cell>
        </row>
        <row r="67">
          <cell r="D67" t="str">
            <v>0,00</v>
          </cell>
        </row>
        <row r="77">
          <cell r="L77" t="str">
            <v>0,00</v>
          </cell>
        </row>
      </sheetData>
      <sheetData sheetId="2"/>
      <sheetData sheetId="3">
        <row r="5">
          <cell r="D5" t="str">
            <v>0,00</v>
          </cell>
          <cell r="L5" t="str">
            <v>0,00</v>
          </cell>
        </row>
        <row r="6">
          <cell r="L6" t="str">
            <v>0,00</v>
          </cell>
        </row>
        <row r="10">
          <cell r="D10" t="str">
            <v>57.637,06</v>
          </cell>
        </row>
        <row r="11">
          <cell r="D11" t="str">
            <v>11.737,77</v>
          </cell>
        </row>
        <row r="12">
          <cell r="D12" t="str">
            <v>13.432,62</v>
          </cell>
        </row>
        <row r="13">
          <cell r="D13" t="str">
            <v>57.853,43</v>
          </cell>
        </row>
        <row r="15">
          <cell r="L15" t="str">
            <v>0,00</v>
          </cell>
        </row>
        <row r="17">
          <cell r="D17" t="str">
            <v>27.712,67</v>
          </cell>
        </row>
        <row r="19">
          <cell r="L19" t="str">
            <v>0,00</v>
          </cell>
        </row>
        <row r="23">
          <cell r="D23" t="str">
            <v>0,00</v>
          </cell>
          <cell r="L23" t="str">
            <v>55.809,98</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row>
        <row r="39">
          <cell r="D39" t="str">
            <v>0,00</v>
          </cell>
        </row>
        <row r="40">
          <cell r="D40" t="str">
            <v>0,00</v>
          </cell>
        </row>
      </sheetData>
      <sheetData sheetId="4">
        <row r="6">
          <cell r="D6">
            <v>2</v>
          </cell>
        </row>
        <row r="10">
          <cell r="H10">
            <v>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atos"/>
      <sheetName val="1291"/>
      <sheetName val="Acerno_Cache_XXXXX"/>
      <sheetName val="2291"/>
      <sheetName val="8290"/>
    </sheetNames>
    <sheetDataSet>
      <sheetData sheetId="0"/>
      <sheetData sheetId="1">
        <row r="3">
          <cell r="D3" t="str">
            <v>0,00</v>
          </cell>
          <cell r="L3" t="str">
            <v>37.896.018,13</v>
          </cell>
        </row>
        <row r="4">
          <cell r="D4" t="str">
            <v>18.754.461,26</v>
          </cell>
          <cell r="L4" t="str">
            <v>60.462.454,83</v>
          </cell>
        </row>
        <row r="5">
          <cell r="D5" t="str">
            <v>0,00</v>
          </cell>
          <cell r="L5" t="str">
            <v>0,00</v>
          </cell>
        </row>
        <row r="6">
          <cell r="D6" t="str">
            <v>235.227,17</v>
          </cell>
          <cell r="L6" t="str">
            <v>0,00</v>
          </cell>
        </row>
        <row r="8">
          <cell r="L8" t="str">
            <v>0,00</v>
          </cell>
        </row>
        <row r="9">
          <cell r="D9" t="str">
            <v>18.402.494,86</v>
          </cell>
          <cell r="L9" t="str">
            <v>0,00</v>
          </cell>
        </row>
        <row r="10">
          <cell r="L10" t="str">
            <v>-6.545.676,02</v>
          </cell>
        </row>
        <row r="11">
          <cell r="L11" t="str">
            <v>0,00</v>
          </cell>
        </row>
        <row r="12">
          <cell r="L12" t="str">
            <v>0,00</v>
          </cell>
        </row>
        <row r="13">
          <cell r="L13" t="str">
            <v>0,00</v>
          </cell>
        </row>
        <row r="15">
          <cell r="D15" t="str">
            <v>116.739,24</v>
          </cell>
        </row>
        <row r="16">
          <cell r="L16" t="str">
            <v>-59.464.913,11</v>
          </cell>
        </row>
        <row r="19">
          <cell r="L19" t="str">
            <v>43.444.152,44</v>
          </cell>
        </row>
        <row r="20">
          <cell r="L20" t="str">
            <v>0,00</v>
          </cell>
        </row>
        <row r="21">
          <cell r="D21" t="str">
            <v>0,00</v>
          </cell>
          <cell r="L21" t="str">
            <v>0,00</v>
          </cell>
        </row>
        <row r="22">
          <cell r="D22" t="str">
            <v>0,00</v>
          </cell>
          <cell r="L22" t="str">
            <v>0,00</v>
          </cell>
        </row>
        <row r="23">
          <cell r="D23" t="str">
            <v>0,00</v>
          </cell>
          <cell r="L23" t="str">
            <v>0,00</v>
          </cell>
        </row>
        <row r="25">
          <cell r="L25" t="str">
            <v>5.590.407,74</v>
          </cell>
        </row>
        <row r="26">
          <cell r="D26" t="str">
            <v>29.865,66</v>
          </cell>
        </row>
        <row r="27">
          <cell r="D27" t="str">
            <v>58.249.298,86</v>
          </cell>
        </row>
        <row r="28">
          <cell r="D28" t="str">
            <v>0,00</v>
          </cell>
          <cell r="L28" t="str">
            <v>1.346.704,35</v>
          </cell>
        </row>
        <row r="29">
          <cell r="D29" t="str">
            <v>31.103.744,14</v>
          </cell>
          <cell r="L29" t="str">
            <v>0,00</v>
          </cell>
        </row>
        <row r="30">
          <cell r="D30" t="str">
            <v>25.348.261,89</v>
          </cell>
          <cell r="L30" t="str">
            <v>0,00</v>
          </cell>
        </row>
        <row r="31">
          <cell r="L31" t="str">
            <v>0,00</v>
          </cell>
        </row>
        <row r="32">
          <cell r="L32" t="str">
            <v>0,00</v>
          </cell>
        </row>
        <row r="33">
          <cell r="L33" t="str">
            <v>0,00</v>
          </cell>
        </row>
        <row r="34">
          <cell r="L34" t="str">
            <v>0,00</v>
          </cell>
        </row>
        <row r="35">
          <cell r="D35" t="str">
            <v>16.897,64</v>
          </cell>
          <cell r="L35" t="str">
            <v>0,00</v>
          </cell>
        </row>
        <row r="36">
          <cell r="L36" t="str">
            <v>32.200.495,56</v>
          </cell>
        </row>
        <row r="38">
          <cell r="L38" t="str">
            <v>2.578.863,90</v>
          </cell>
        </row>
        <row r="39">
          <cell r="L39" t="str">
            <v>0,00</v>
          </cell>
        </row>
        <row r="40">
          <cell r="D40" t="str">
            <v>0,00</v>
          </cell>
          <cell r="L40" t="str">
            <v>27.741.144,13</v>
          </cell>
        </row>
        <row r="41">
          <cell r="D41" t="str">
            <v>1.533.787,01</v>
          </cell>
          <cell r="L41" t="str">
            <v>1.880.487,53</v>
          </cell>
        </row>
        <row r="42">
          <cell r="D42" t="str">
            <v>246.608,18</v>
          </cell>
          <cell r="L42" t="str">
            <v>0,00</v>
          </cell>
        </row>
        <row r="43">
          <cell r="L43" t="str">
            <v>0,00</v>
          </cell>
        </row>
        <row r="44">
          <cell r="L44" t="str">
            <v>0,00</v>
          </cell>
        </row>
      </sheetData>
      <sheetData sheetId="2"/>
      <sheetData sheetId="3">
        <row r="4">
          <cell r="D4" t="str">
            <v>0,00</v>
          </cell>
          <cell r="L4" t="str">
            <v>31.659.383,04</v>
          </cell>
        </row>
        <row r="5">
          <cell r="D5" t="str">
            <v>47.514.123,93</v>
          </cell>
          <cell r="L5" t="str">
            <v>2.097.001,55</v>
          </cell>
        </row>
        <row r="6">
          <cell r="L6" t="str">
            <v>0,00</v>
          </cell>
        </row>
        <row r="7">
          <cell r="D7" t="str">
            <v>19.028.646,57</v>
          </cell>
          <cell r="L7" t="str">
            <v>3.319.417,60</v>
          </cell>
        </row>
        <row r="8">
          <cell r="D8" t="str">
            <v>5.544.002,67</v>
          </cell>
        </row>
        <row r="9">
          <cell r="D9" t="str">
            <v>4.869.051,78</v>
          </cell>
          <cell r="L9" t="str">
            <v>0,00</v>
          </cell>
        </row>
        <row r="10">
          <cell r="D10" t="str">
            <v>5.210.833,59</v>
          </cell>
          <cell r="L10" t="str">
            <v>100.837,67</v>
          </cell>
        </row>
        <row r="11">
          <cell r="D11" t="str">
            <v>15.371.435,05</v>
          </cell>
          <cell r="L11" t="str">
            <v>0,00</v>
          </cell>
        </row>
        <row r="12">
          <cell r="L12" t="str">
            <v>168.370,51</v>
          </cell>
        </row>
        <row r="13">
          <cell r="D13" t="str">
            <v>276.150,79</v>
          </cell>
          <cell r="L13" t="str">
            <v>0,00</v>
          </cell>
        </row>
        <row r="14">
          <cell r="D14" t="str">
            <v>0,00</v>
          </cell>
        </row>
        <row r="15">
          <cell r="D15" t="str">
            <v>0,00</v>
          </cell>
          <cell r="L15" t="str">
            <v>0,00</v>
          </cell>
        </row>
        <row r="16">
          <cell r="D16" t="str">
            <v>301.232,40</v>
          </cell>
          <cell r="L16" t="str">
            <v>0,00</v>
          </cell>
        </row>
        <row r="17">
          <cell r="D17" t="str">
            <v>0,00</v>
          </cell>
        </row>
        <row r="18">
          <cell r="L18" t="str">
            <v>4.627,79</v>
          </cell>
        </row>
        <row r="19">
          <cell r="D19" t="str">
            <v>0,00</v>
          </cell>
          <cell r="L19" t="str">
            <v>0,00</v>
          </cell>
        </row>
        <row r="20">
          <cell r="D20" t="str">
            <v>0,00</v>
          </cell>
          <cell r="L20" t="str">
            <v>0,00</v>
          </cell>
        </row>
        <row r="21">
          <cell r="L21" t="str">
            <v>0,00</v>
          </cell>
        </row>
        <row r="22">
          <cell r="D22" t="str">
            <v>142.720,99</v>
          </cell>
          <cell r="L22" t="str">
            <v>1.518.133,56</v>
          </cell>
        </row>
        <row r="23">
          <cell r="D23" t="str">
            <v>0,00</v>
          </cell>
          <cell r="L23" t="str">
            <v>49.917,85</v>
          </cell>
        </row>
        <row r="24">
          <cell r="D24" t="str">
            <v>0,00</v>
          </cell>
        </row>
        <row r="25">
          <cell r="D25" t="str">
            <v>0,00</v>
          </cell>
        </row>
        <row r="26">
          <cell r="D26" t="str">
            <v>0,00</v>
          </cell>
        </row>
        <row r="27">
          <cell r="D27" t="str">
            <v>124.404,91</v>
          </cell>
          <cell r="L27" t="str">
            <v>0,00</v>
          </cell>
        </row>
        <row r="30">
          <cell r="D30" t="str">
            <v>0,00</v>
          </cell>
        </row>
        <row r="32">
          <cell r="D32" t="str">
            <v>0,00</v>
          </cell>
        </row>
      </sheetData>
      <sheetData sheetId="4">
        <row r="6">
          <cell r="D6">
            <v>653</v>
          </cell>
        </row>
        <row r="10">
          <cell r="H1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26.064.164,05</v>
          </cell>
        </row>
        <row r="4">
          <cell r="D4" t="str">
            <v>296.932.025,53</v>
          </cell>
          <cell r="L4" t="str">
            <v>66.293.341,99</v>
          </cell>
        </row>
        <row r="5">
          <cell r="D5" t="str">
            <v>0,00</v>
          </cell>
          <cell r="L5" t="str">
            <v>0,00</v>
          </cell>
        </row>
        <row r="6">
          <cell r="D6" t="str">
            <v>226.311,11</v>
          </cell>
          <cell r="L6" t="str">
            <v>0,00</v>
          </cell>
        </row>
        <row r="7">
          <cell r="L7" t="str">
            <v>0,00</v>
          </cell>
        </row>
        <row r="14">
          <cell r="L14" t="str">
            <v>-33.460.285,12</v>
          </cell>
        </row>
        <row r="17">
          <cell r="D17" t="str">
            <v>296.563.815,47</v>
          </cell>
          <cell r="L17" t="str">
            <v>-37.805.278,09</v>
          </cell>
        </row>
        <row r="18">
          <cell r="L18" t="str">
            <v>31.036.385,27</v>
          </cell>
        </row>
        <row r="19">
          <cell r="L19" t="str">
            <v>0,00</v>
          </cell>
        </row>
        <row r="20">
          <cell r="L20" t="str">
            <v>0,00</v>
          </cell>
        </row>
        <row r="21">
          <cell r="L21" t="str">
            <v>167.442.471,12</v>
          </cell>
        </row>
        <row r="25">
          <cell r="D25" t="str">
            <v>141.898,96</v>
          </cell>
        </row>
        <row r="26">
          <cell r="L26" t="str">
            <v>6.091.047,32</v>
          </cell>
        </row>
        <row r="31">
          <cell r="L31" t="str">
            <v>111.328.939,93</v>
          </cell>
        </row>
        <row r="32">
          <cell r="L32" t="str">
            <v>0,00</v>
          </cell>
        </row>
        <row r="35">
          <cell r="D35" t="str">
            <v>0,00</v>
          </cell>
        </row>
        <row r="36">
          <cell r="D36" t="str">
            <v>0,00</v>
          </cell>
          <cell r="L36" t="str">
            <v>100.150.439,34</v>
          </cell>
        </row>
        <row r="37">
          <cell r="D37" t="str">
            <v>5.846.140,90</v>
          </cell>
        </row>
        <row r="38">
          <cell r="D38" t="str">
            <v>34.661.714,33</v>
          </cell>
        </row>
        <row r="39">
          <cell r="D39" t="str">
            <v>0,00</v>
          </cell>
          <cell r="L39" t="str">
            <v>0,00</v>
          </cell>
        </row>
        <row r="40">
          <cell r="D40" t="str">
            <v>1.870.145,32</v>
          </cell>
        </row>
        <row r="42">
          <cell r="L42" t="str">
            <v>11.178.500,60</v>
          </cell>
        </row>
        <row r="47">
          <cell r="L47" t="str">
            <v>0,00</v>
          </cell>
        </row>
        <row r="48">
          <cell r="D48" t="str">
            <v>26.033.969,20</v>
          </cell>
        </row>
        <row r="51">
          <cell r="L51" t="str">
            <v>0,00</v>
          </cell>
        </row>
        <row r="52">
          <cell r="L52" t="str">
            <v>26.513.258,33</v>
          </cell>
        </row>
        <row r="53">
          <cell r="L53" t="str">
            <v>0,00</v>
          </cell>
        </row>
        <row r="56">
          <cell r="D56" t="str">
            <v>5.883.427,69</v>
          </cell>
        </row>
        <row r="58">
          <cell r="L58" t="str">
            <v>16.142.776,44</v>
          </cell>
        </row>
        <row r="62">
          <cell r="L62" t="str">
            <v>582.591,08</v>
          </cell>
        </row>
        <row r="65">
          <cell r="D65" t="str">
            <v>0,00</v>
          </cell>
          <cell r="L65" t="str">
            <v>3.608.428,59</v>
          </cell>
        </row>
        <row r="66">
          <cell r="D66" t="str">
            <v>807.934,56</v>
          </cell>
        </row>
        <row r="67">
          <cell r="D67" t="str">
            <v>66.237,54</v>
          </cell>
        </row>
        <row r="69">
          <cell r="L69" t="str">
            <v>6.157.447,14</v>
          </cell>
        </row>
        <row r="75">
          <cell r="L75" t="str">
            <v>0,00</v>
          </cell>
        </row>
        <row r="76">
          <cell r="L76" t="str">
            <v>22.015,07</v>
          </cell>
        </row>
        <row r="77">
          <cell r="L77" t="str">
            <v>0,00</v>
          </cell>
        </row>
      </sheetData>
      <sheetData sheetId="2">
        <row r="4">
          <cell r="D4" t="str">
            <v>0,00</v>
          </cell>
          <cell r="L4" t="str">
            <v>13.660.632,51</v>
          </cell>
        </row>
        <row r="5">
          <cell r="D5" t="str">
            <v>1.390.369,38</v>
          </cell>
        </row>
        <row r="9">
          <cell r="L9" t="str">
            <v>0,00</v>
          </cell>
        </row>
        <row r="10">
          <cell r="L10" t="str">
            <v>0,00</v>
          </cell>
        </row>
        <row r="11">
          <cell r="D11" t="str">
            <v>18.669.214,96</v>
          </cell>
          <cell r="L11" t="str">
            <v>911.999,81</v>
          </cell>
        </row>
        <row r="12">
          <cell r="D12" t="str">
            <v>9.156.641,78</v>
          </cell>
        </row>
        <row r="13">
          <cell r="D13" t="str">
            <v>14.003.804,41</v>
          </cell>
        </row>
        <row r="14">
          <cell r="D14" t="str">
            <v>-41.445,79</v>
          </cell>
        </row>
        <row r="16">
          <cell r="L16" t="str">
            <v>0,00</v>
          </cell>
        </row>
        <row r="18">
          <cell r="D18" t="str">
            <v>9.404.138,57</v>
          </cell>
        </row>
        <row r="20">
          <cell r="L20" t="str">
            <v>0,00</v>
          </cell>
        </row>
        <row r="24">
          <cell r="D24" t="str">
            <v>9.987.054,20</v>
          </cell>
          <cell r="L24" t="str">
            <v>1.941.365,26</v>
          </cell>
        </row>
        <row r="29">
          <cell r="D29" t="str">
            <v>0,00</v>
          </cell>
          <cell r="L29" t="str">
            <v>0,00</v>
          </cell>
        </row>
        <row r="30">
          <cell r="D30" t="str">
            <v>197.522,63</v>
          </cell>
        </row>
        <row r="32">
          <cell r="L32" t="str">
            <v>22.742,30</v>
          </cell>
        </row>
        <row r="33">
          <cell r="D33" t="str">
            <v>10.698,02</v>
          </cell>
          <cell r="L33" t="str">
            <v>0,00</v>
          </cell>
        </row>
        <row r="34">
          <cell r="D34" t="str">
            <v>0,00</v>
          </cell>
          <cell r="L34" t="str">
            <v>8.849.614,75</v>
          </cell>
        </row>
        <row r="35">
          <cell r="D35" t="str">
            <v>0,00</v>
          </cell>
          <cell r="L35" t="str">
            <v>0,00</v>
          </cell>
        </row>
        <row r="36">
          <cell r="D36" t="str">
            <v>20.308,20</v>
          </cell>
          <cell r="L36" t="str">
            <v>210.528,53</v>
          </cell>
        </row>
        <row r="37">
          <cell r="D37" t="str">
            <v>603.854,89</v>
          </cell>
        </row>
        <row r="40">
          <cell r="D40" t="str">
            <v>0,00</v>
          </cell>
        </row>
        <row r="41">
          <cell r="D41" t="str">
            <v>0,00</v>
          </cell>
        </row>
      </sheetData>
      <sheetData sheetId="3">
        <row r="6">
          <cell r="D6">
            <v>1130</v>
          </cell>
        </row>
        <row r="10">
          <cell r="H10">
            <v>136790354.95774886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atos"/>
      <sheetName val="Acerno_Cache_XXXXX"/>
      <sheetName val="1120"/>
      <sheetName val="2111"/>
      <sheetName val="5100"/>
      <sheetName val="5120"/>
      <sheetName val="6100"/>
      <sheetName val="7100"/>
      <sheetName val="8100"/>
      <sheetName val="1100"/>
    </sheetNames>
    <sheetDataSet>
      <sheetData sheetId="0"/>
      <sheetData sheetId="1"/>
      <sheetData sheetId="2">
        <row r="4">
          <cell r="D4" t="str">
            <v>6.914.252,33</v>
          </cell>
          <cell r="L4" t="str">
            <v>7.950.000,38</v>
          </cell>
        </row>
        <row r="5">
          <cell r="L5" t="str">
            <v>0,00</v>
          </cell>
        </row>
        <row r="7">
          <cell r="L7" t="str">
            <v>0,00</v>
          </cell>
        </row>
        <row r="8">
          <cell r="L8" t="str">
            <v>0,00</v>
          </cell>
        </row>
        <row r="9">
          <cell r="D9" t="str">
            <v>0,00</v>
          </cell>
          <cell r="L9" t="str">
            <v>0,00</v>
          </cell>
        </row>
        <row r="11">
          <cell r="L11" t="str">
            <v>0,00</v>
          </cell>
        </row>
        <row r="12">
          <cell r="L12" t="str">
            <v>0,00</v>
          </cell>
        </row>
        <row r="13">
          <cell r="D13" t="str">
            <v>28.616,48</v>
          </cell>
          <cell r="L13" t="str">
            <v>0,00</v>
          </cell>
        </row>
        <row r="15">
          <cell r="L15" t="str">
            <v>0,00</v>
          </cell>
        </row>
        <row r="16">
          <cell r="L16" t="str">
            <v>688.285,62</v>
          </cell>
        </row>
        <row r="17">
          <cell r="D17" t="str">
            <v>0,00</v>
          </cell>
          <cell r="L17" t="str">
            <v>1.396.706,07</v>
          </cell>
        </row>
        <row r="18">
          <cell r="D18" t="str">
            <v>0,00</v>
          </cell>
          <cell r="L18" t="str">
            <v>0,00</v>
          </cell>
        </row>
        <row r="19">
          <cell r="D19" t="str">
            <v>0,00</v>
          </cell>
          <cell r="L19" t="str">
            <v>0,00</v>
          </cell>
        </row>
        <row r="20">
          <cell r="D20" t="str">
            <v>0,00</v>
          </cell>
          <cell r="L20" t="str">
            <v>0,00</v>
          </cell>
        </row>
        <row r="21">
          <cell r="D21" t="str">
            <v>0,00</v>
          </cell>
          <cell r="L21" t="str">
            <v>1.173.958,09</v>
          </cell>
        </row>
        <row r="22">
          <cell r="D22" t="str">
            <v>0,00</v>
          </cell>
          <cell r="L22" t="str">
            <v>930.539,17</v>
          </cell>
        </row>
        <row r="23">
          <cell r="D23" t="str">
            <v>0,00</v>
          </cell>
          <cell r="L23" t="str">
            <v>238.878,13</v>
          </cell>
        </row>
        <row r="24">
          <cell r="D24" t="str">
            <v>34.191,58</v>
          </cell>
          <cell r="L24" t="str">
            <v>45.182,41</v>
          </cell>
        </row>
        <row r="25">
          <cell r="L25" t="str">
            <v>55.519,80</v>
          </cell>
        </row>
        <row r="28">
          <cell r="L28" t="str">
            <v>0,00</v>
          </cell>
        </row>
        <row r="29">
          <cell r="L29" t="str">
            <v>0,00</v>
          </cell>
        </row>
        <row r="30">
          <cell r="D30" t="str">
            <v>1.032.614,39</v>
          </cell>
          <cell r="L30" t="str">
            <v>0,00</v>
          </cell>
        </row>
        <row r="31">
          <cell r="D31" t="str">
            <v>79.578,26</v>
          </cell>
        </row>
        <row r="32">
          <cell r="D32" t="str">
            <v>0,00</v>
          </cell>
        </row>
        <row r="33">
          <cell r="D33" t="str">
            <v>0,00</v>
          </cell>
        </row>
        <row r="35">
          <cell r="D35" t="str">
            <v>0,00</v>
          </cell>
        </row>
        <row r="36">
          <cell r="D36" t="str">
            <v>0,00</v>
          </cell>
        </row>
        <row r="37">
          <cell r="D37" t="str">
            <v>0,00</v>
          </cell>
        </row>
        <row r="38">
          <cell r="D38" t="str">
            <v>0,00</v>
          </cell>
        </row>
        <row r="39">
          <cell r="D39" t="str">
            <v>491,03</v>
          </cell>
        </row>
        <row r="40">
          <cell r="D40" t="str">
            <v>805.332,82</v>
          </cell>
        </row>
        <row r="41">
          <cell r="D41" t="str">
            <v>0,00</v>
          </cell>
        </row>
        <row r="42">
          <cell r="D42" t="str">
            <v>0,00</v>
          </cell>
        </row>
        <row r="43">
          <cell r="D43" t="str">
            <v>0,00</v>
          </cell>
        </row>
        <row r="44">
          <cell r="D44" t="str">
            <v>3.583.992,78</v>
          </cell>
          <cell r="R44">
            <v>596326223</v>
          </cell>
        </row>
      </sheetData>
      <sheetData sheetId="3">
        <row r="4">
          <cell r="D4" t="str">
            <v>2.078.059,69</v>
          </cell>
          <cell r="L4" t="str">
            <v>3.424.543,44</v>
          </cell>
        </row>
        <row r="5">
          <cell r="D5" t="str">
            <v>4.483.013,23</v>
          </cell>
          <cell r="L5" t="str">
            <v>120.577,23</v>
          </cell>
        </row>
        <row r="6">
          <cell r="D6" t="str">
            <v>106.978,93</v>
          </cell>
          <cell r="L6" t="str">
            <v>0,00</v>
          </cell>
        </row>
        <row r="7">
          <cell r="D7" t="str">
            <v>52.470,44</v>
          </cell>
          <cell r="L7" t="str">
            <v>0,00</v>
          </cell>
        </row>
        <row r="8">
          <cell r="D8" t="str">
            <v>6.847.768,65</v>
          </cell>
          <cell r="L8" t="str">
            <v>0,00</v>
          </cell>
        </row>
        <row r="9">
          <cell r="D9" t="str">
            <v>0,00</v>
          </cell>
        </row>
        <row r="10">
          <cell r="D10" t="str">
            <v>0,00</v>
          </cell>
          <cell r="L10" t="str">
            <v>8.826.338,30</v>
          </cell>
        </row>
        <row r="11">
          <cell r="D11" t="str">
            <v>1.895.882,83</v>
          </cell>
          <cell r="L11" t="str">
            <v>0,00</v>
          </cell>
        </row>
        <row r="12">
          <cell r="D12" t="str">
            <v>144.242,91</v>
          </cell>
          <cell r="L12" t="str">
            <v>177.790,01</v>
          </cell>
        </row>
        <row r="13">
          <cell r="D13" t="str">
            <v>401.158,02</v>
          </cell>
          <cell r="L13" t="str">
            <v>0,00</v>
          </cell>
        </row>
        <row r="18">
          <cell r="D18" t="str">
            <v>0,00</v>
          </cell>
          <cell r="L18" t="str">
            <v>0,00</v>
          </cell>
        </row>
        <row r="19">
          <cell r="D19" t="str">
            <v>0,00</v>
          </cell>
          <cell r="L19" t="str">
            <v>0,00</v>
          </cell>
        </row>
        <row r="20">
          <cell r="D20" t="str">
            <v>30.525,87</v>
          </cell>
          <cell r="L20" t="str">
            <v>9.165,58</v>
          </cell>
        </row>
        <row r="23">
          <cell r="D23" t="str">
            <v>0,00</v>
          </cell>
          <cell r="L23" t="str">
            <v>0,00</v>
          </cell>
        </row>
        <row r="26">
          <cell r="D26" t="str">
            <v>113.856,54</v>
          </cell>
          <cell r="L26" t="str">
            <v>11.549,76</v>
          </cell>
        </row>
      </sheetData>
      <sheetData sheetId="4"/>
      <sheetData sheetId="5"/>
      <sheetData sheetId="6"/>
      <sheetData sheetId="7"/>
      <sheetData sheetId="8">
        <row r="6">
          <cell r="D6">
            <v>210</v>
          </cell>
        </row>
        <row r="10">
          <cell r="H10">
            <v>0</v>
          </cell>
        </row>
      </sheetData>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Acerno_Cache_XXXXX"/>
      <sheetName val="1120"/>
      <sheetName val="2111"/>
      <sheetName val="5100"/>
      <sheetName val="5120"/>
      <sheetName val="6100"/>
      <sheetName val="7100"/>
      <sheetName val="8100"/>
    </sheetNames>
    <sheetDataSet>
      <sheetData sheetId="0"/>
      <sheetData sheetId="1"/>
      <sheetData sheetId="2">
        <row r="4">
          <cell r="D4" t="str">
            <v>6.370.841,47</v>
          </cell>
          <cell r="L4" t="str">
            <v>0,00</v>
          </cell>
        </row>
        <row r="5">
          <cell r="L5" t="str">
            <v>3.143.674,36</v>
          </cell>
        </row>
        <row r="7">
          <cell r="L7" t="str">
            <v>0,00</v>
          </cell>
        </row>
        <row r="8">
          <cell r="L8" t="str">
            <v>-331.159,29</v>
          </cell>
        </row>
        <row r="9">
          <cell r="D9" t="str">
            <v>0,00</v>
          </cell>
          <cell r="L9" t="str">
            <v>4.551.738,95</v>
          </cell>
        </row>
        <row r="11">
          <cell r="L11" t="str">
            <v>0,00</v>
          </cell>
        </row>
        <row r="12">
          <cell r="L12" t="str">
            <v>0,00</v>
          </cell>
        </row>
        <row r="13">
          <cell r="D13" t="str">
            <v>29.608,47</v>
          </cell>
          <cell r="L13" t="str">
            <v>0,00</v>
          </cell>
        </row>
        <row r="15">
          <cell r="L15" t="str">
            <v>0,00</v>
          </cell>
        </row>
        <row r="16">
          <cell r="L16" t="str">
            <v>179.865,50</v>
          </cell>
        </row>
        <row r="17">
          <cell r="D17" t="str">
            <v>0,00</v>
          </cell>
          <cell r="L17" t="str">
            <v>0,00</v>
          </cell>
        </row>
        <row r="18">
          <cell r="D18" t="str">
            <v>0,00</v>
          </cell>
          <cell r="L18" t="str">
            <v>0,00</v>
          </cell>
        </row>
        <row r="19">
          <cell r="D19" t="str">
            <v>0,00</v>
          </cell>
          <cell r="L19" t="str">
            <v>0,00</v>
          </cell>
        </row>
        <row r="20">
          <cell r="D20" t="str">
            <v>0,00</v>
          </cell>
          <cell r="L20" t="str">
            <v>0,00</v>
          </cell>
        </row>
        <row r="21">
          <cell r="D21" t="str">
            <v>0,00</v>
          </cell>
          <cell r="L21" t="str">
            <v>0,00</v>
          </cell>
        </row>
        <row r="22">
          <cell r="D22" t="str">
            <v>0,00</v>
          </cell>
          <cell r="L22" t="str">
            <v>44.176,28</v>
          </cell>
        </row>
        <row r="23">
          <cell r="D23" t="str">
            <v>0,00</v>
          </cell>
          <cell r="L23" t="str">
            <v>179.176,48</v>
          </cell>
        </row>
        <row r="24">
          <cell r="D24" t="str">
            <v>7.434,55</v>
          </cell>
          <cell r="L24" t="str">
            <v>0,00</v>
          </cell>
        </row>
        <row r="25">
          <cell r="L25" t="str">
            <v>111.564,13</v>
          </cell>
        </row>
        <row r="28">
          <cell r="L28" t="str">
            <v>0,00</v>
          </cell>
        </row>
        <row r="29">
          <cell r="L29" t="str">
            <v>0,00</v>
          </cell>
        </row>
        <row r="30">
          <cell r="D30" t="str">
            <v>1.109.483,37</v>
          </cell>
          <cell r="L30" t="str">
            <v>61.037,05</v>
          </cell>
        </row>
        <row r="31">
          <cell r="D31" t="str">
            <v>1.401,43</v>
          </cell>
        </row>
        <row r="32">
          <cell r="D32" t="str">
            <v>0,00</v>
          </cell>
        </row>
        <row r="33">
          <cell r="D33" t="str">
            <v>0,00</v>
          </cell>
        </row>
        <row r="35">
          <cell r="D35" t="str">
            <v>0,00</v>
          </cell>
        </row>
        <row r="36">
          <cell r="D36" t="str">
            <v>0,00</v>
          </cell>
        </row>
        <row r="37">
          <cell r="D37" t="str">
            <v>0,00</v>
          </cell>
        </row>
        <row r="38">
          <cell r="D38" t="str">
            <v>0,00</v>
          </cell>
        </row>
        <row r="39">
          <cell r="D39" t="str">
            <v>839,95</v>
          </cell>
        </row>
        <row r="40">
          <cell r="D40" t="str">
            <v>420.464,23</v>
          </cell>
        </row>
        <row r="41">
          <cell r="D41" t="str">
            <v>0,00</v>
          </cell>
        </row>
        <row r="42">
          <cell r="D42" t="str">
            <v>0,00</v>
          </cell>
        </row>
        <row r="43">
          <cell r="D43" t="str">
            <v>0,00</v>
          </cell>
        </row>
        <row r="44">
          <cell r="D44" t="str">
            <v>0,00</v>
          </cell>
          <cell r="R44">
            <v>0</v>
          </cell>
        </row>
      </sheetData>
      <sheetData sheetId="3">
        <row r="4">
          <cell r="D4" t="str">
            <v>947,89</v>
          </cell>
          <cell r="L4" t="str">
            <v>35.321,97</v>
          </cell>
        </row>
        <row r="5">
          <cell r="D5" t="str">
            <v>4.361.947,24</v>
          </cell>
          <cell r="L5" t="str">
            <v>49.708,86</v>
          </cell>
        </row>
        <row r="6">
          <cell r="D6" t="str">
            <v>3.684,64</v>
          </cell>
          <cell r="L6" t="str">
            <v>0,00</v>
          </cell>
        </row>
        <row r="7">
          <cell r="D7" t="str">
            <v>9.475,91</v>
          </cell>
          <cell r="L7" t="str">
            <v>0,00</v>
          </cell>
        </row>
        <row r="8">
          <cell r="D8" t="str">
            <v>1.240.142,45</v>
          </cell>
          <cell r="L8" t="str">
            <v>0,00</v>
          </cell>
        </row>
        <row r="9">
          <cell r="D9" t="str">
            <v>0,00</v>
          </cell>
          <cell r="L9" t="str">
            <v>0,00</v>
          </cell>
        </row>
        <row r="10">
          <cell r="D10" t="str">
            <v>0,00</v>
          </cell>
          <cell r="L10" t="str">
            <v>4.326.062,89</v>
          </cell>
        </row>
        <row r="11">
          <cell r="D11" t="str">
            <v>123.437,18</v>
          </cell>
          <cell r="L11" t="str">
            <v>0,00</v>
          </cell>
        </row>
        <row r="12">
          <cell r="D12" t="str">
            <v>0,00</v>
          </cell>
          <cell r="L12" t="str">
            <v>1.905.082,77</v>
          </cell>
        </row>
        <row r="13">
          <cell r="D13" t="str">
            <v>515.504,13</v>
          </cell>
          <cell r="L13" t="str">
            <v>0,00</v>
          </cell>
        </row>
        <row r="18">
          <cell r="D18" t="str">
            <v>0,00</v>
          </cell>
          <cell r="L18" t="str">
            <v>0,00</v>
          </cell>
        </row>
        <row r="19">
          <cell r="D19" t="str">
            <v>0,00</v>
          </cell>
          <cell r="L19" t="str">
            <v>0,00</v>
          </cell>
        </row>
        <row r="20">
          <cell r="D20" t="str">
            <v>0,00</v>
          </cell>
          <cell r="L20" t="str">
            <v>0,00</v>
          </cell>
        </row>
        <row r="23">
          <cell r="D23" t="str">
            <v>0,00</v>
          </cell>
          <cell r="L23" t="str">
            <v>0,00</v>
          </cell>
        </row>
        <row r="26">
          <cell r="D26" t="str">
            <v>0,00</v>
          </cell>
          <cell r="L26" t="str">
            <v>0,00</v>
          </cell>
        </row>
      </sheetData>
      <sheetData sheetId="4"/>
      <sheetData sheetId="5"/>
      <sheetData sheetId="6"/>
      <sheetData sheetId="7"/>
      <sheetData sheetId="8">
        <row r="6">
          <cell r="D6">
            <v>148</v>
          </cell>
        </row>
        <row r="10">
          <cell r="H10">
            <v>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0"/>
      <sheetData sheetId="1">
        <row r="4">
          <cell r="D4" t="str">
            <v>0,00</v>
          </cell>
          <cell r="L4" t="str">
            <v>180.368.720,93</v>
          </cell>
        </row>
        <row r="10">
          <cell r="D10" t="str">
            <v>349.170,00</v>
          </cell>
        </row>
        <row r="11">
          <cell r="L11" t="str">
            <v>0,00</v>
          </cell>
        </row>
        <row r="12">
          <cell r="L12" t="str">
            <v>0,00</v>
          </cell>
        </row>
        <row r="15">
          <cell r="L15" t="str">
            <v>23.117.996,71</v>
          </cell>
        </row>
        <row r="16">
          <cell r="L16" t="str">
            <v>0,00</v>
          </cell>
        </row>
        <row r="17">
          <cell r="L17" t="str">
            <v>0,00</v>
          </cell>
        </row>
        <row r="18">
          <cell r="D18" t="str">
            <v>176.432.933,06</v>
          </cell>
        </row>
        <row r="19">
          <cell r="L19" t="str">
            <v>0,00</v>
          </cell>
        </row>
        <row r="24">
          <cell r="D24" t="str">
            <v>0,00</v>
          </cell>
        </row>
        <row r="25">
          <cell r="D25" t="str">
            <v>62.751,67</v>
          </cell>
          <cell r="L25" t="str">
            <v>0,00</v>
          </cell>
        </row>
        <row r="26">
          <cell r="L26" t="str">
            <v>0,00</v>
          </cell>
        </row>
        <row r="27">
          <cell r="L27" t="str">
            <v>0,00</v>
          </cell>
        </row>
        <row r="28">
          <cell r="L28" t="str">
            <v>0,00</v>
          </cell>
        </row>
        <row r="29">
          <cell r="L29" t="str">
            <v>0,00</v>
          </cell>
        </row>
        <row r="30">
          <cell r="D30" t="str">
            <v>0,00</v>
          </cell>
        </row>
        <row r="31">
          <cell r="L31" t="str">
            <v>0,00</v>
          </cell>
        </row>
        <row r="32">
          <cell r="D32" t="str">
            <v>0,00</v>
          </cell>
        </row>
        <row r="36">
          <cell r="L36" t="str">
            <v>10.218.612,14</v>
          </cell>
        </row>
        <row r="39">
          <cell r="D39" t="str">
            <v>51.823.620,98</v>
          </cell>
          <cell r="L39" t="str">
            <v>13.729.340,21</v>
          </cell>
        </row>
        <row r="40">
          <cell r="L40" t="str">
            <v>9.352.848,20</v>
          </cell>
        </row>
        <row r="41">
          <cell r="L41" t="str">
            <v>3.498.311,16</v>
          </cell>
        </row>
        <row r="46">
          <cell r="D46" t="str">
            <v>3.455,82</v>
          </cell>
          <cell r="L46" t="str">
            <v>11.416.020,58</v>
          </cell>
        </row>
        <row r="47">
          <cell r="L47" t="str">
            <v>0,00</v>
          </cell>
        </row>
        <row r="51">
          <cell r="D51" t="str">
            <v>10.178.759,03</v>
          </cell>
        </row>
        <row r="52">
          <cell r="D52" t="str">
            <v>0,00</v>
          </cell>
        </row>
      </sheetData>
      <sheetData sheetId="2"/>
      <sheetData sheetId="3">
        <row r="4">
          <cell r="D4" t="str">
            <v>0,00</v>
          </cell>
          <cell r="L4" t="str">
            <v>1.850.263,84</v>
          </cell>
        </row>
        <row r="5">
          <cell r="D5" t="str">
            <v>0,00</v>
          </cell>
        </row>
        <row r="8">
          <cell r="L8" t="str">
            <v>0,00</v>
          </cell>
        </row>
        <row r="10">
          <cell r="L10" t="str">
            <v>23.301.377,52</v>
          </cell>
        </row>
        <row r="11">
          <cell r="D11" t="str">
            <v>83.420.582,26</v>
          </cell>
          <cell r="L11" t="str">
            <v>295.090,93</v>
          </cell>
        </row>
        <row r="12">
          <cell r="D12" t="str">
            <v>8.625.978,15</v>
          </cell>
          <cell r="L12" t="str">
            <v>0,00</v>
          </cell>
        </row>
        <row r="13">
          <cell r="D13" t="str">
            <v>222,37</v>
          </cell>
          <cell r="L13" t="str">
            <v>209.771,25</v>
          </cell>
        </row>
        <row r="14">
          <cell r="D14" t="str">
            <v>10.015.782,58</v>
          </cell>
        </row>
        <row r="15">
          <cell r="D15" t="str">
            <v>0,00</v>
          </cell>
        </row>
        <row r="16">
          <cell r="L16" t="str">
            <v>0,00</v>
          </cell>
        </row>
        <row r="17">
          <cell r="L17" t="str">
            <v>0,00</v>
          </cell>
        </row>
        <row r="18">
          <cell r="D18" t="str">
            <v>24.607.154,45</v>
          </cell>
          <cell r="L18" t="str">
            <v>956.114,10</v>
          </cell>
        </row>
        <row r="21">
          <cell r="L21" t="str">
            <v>0,00</v>
          </cell>
        </row>
        <row r="22">
          <cell r="D22" t="str">
            <v>378.908,08</v>
          </cell>
        </row>
        <row r="23">
          <cell r="L23" t="str">
            <v>83.928.509,61</v>
          </cell>
        </row>
        <row r="24">
          <cell r="L24" t="str">
            <v>4.866.569,30</v>
          </cell>
        </row>
        <row r="25">
          <cell r="D25" t="str">
            <v>0,00</v>
          </cell>
          <cell r="L25" t="str">
            <v>0,00</v>
          </cell>
        </row>
        <row r="26">
          <cell r="D26" t="str">
            <v>0,00</v>
          </cell>
          <cell r="L26" t="str">
            <v>31.374.532,71</v>
          </cell>
        </row>
        <row r="27">
          <cell r="L27" t="str">
            <v>4.559.127,57</v>
          </cell>
        </row>
        <row r="28">
          <cell r="D28" t="str">
            <v>890.399,43</v>
          </cell>
          <cell r="L28" t="str">
            <v>0,00</v>
          </cell>
        </row>
        <row r="29">
          <cell r="D29" t="str">
            <v>0,00</v>
          </cell>
        </row>
        <row r="30">
          <cell r="D30" t="str">
            <v>199.902,64</v>
          </cell>
        </row>
        <row r="31">
          <cell r="D31" t="str">
            <v>0,00</v>
          </cell>
        </row>
        <row r="32">
          <cell r="D32" t="str">
            <v>84.430,18</v>
          </cell>
        </row>
        <row r="33">
          <cell r="D33" t="str">
            <v>73.539,84</v>
          </cell>
        </row>
      </sheetData>
      <sheetData sheetId="4"/>
      <sheetData sheetId="5"/>
      <sheetData sheetId="6"/>
      <sheetData sheetId="7"/>
      <sheetData sheetId="8">
        <row r="6">
          <cell r="D6">
            <v>4403</v>
          </cell>
        </row>
        <row r="10">
          <cell r="H10">
            <v>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atos"/>
      <sheetName val="Acerno_Cache_XXXXX"/>
      <sheetName val="1120"/>
      <sheetName val="2111"/>
      <sheetName val="5100"/>
      <sheetName val="5120"/>
      <sheetName val="6100"/>
      <sheetName val="7100"/>
      <sheetName val="8100"/>
      <sheetName val="1100"/>
    </sheetNames>
    <sheetDataSet>
      <sheetData sheetId="0"/>
      <sheetData sheetId="1"/>
      <sheetData sheetId="2">
        <row r="4">
          <cell r="D4" t="str">
            <v>138.548.717,44</v>
          </cell>
          <cell r="L4" t="str">
            <v>62.699.548,09</v>
          </cell>
        </row>
        <row r="5">
          <cell r="L5" t="str">
            <v>0,00</v>
          </cell>
        </row>
        <row r="7">
          <cell r="L7" t="str">
            <v>0,00</v>
          </cell>
        </row>
        <row r="8">
          <cell r="L8" t="str">
            <v>0,00</v>
          </cell>
        </row>
        <row r="9">
          <cell r="D9" t="str">
            <v>0,00</v>
          </cell>
          <cell r="L9" t="str">
            <v>84.478.702,14</v>
          </cell>
        </row>
        <row r="11">
          <cell r="L11" t="str">
            <v>0,00</v>
          </cell>
        </row>
        <row r="12">
          <cell r="L12" t="str">
            <v>13.949.924,18</v>
          </cell>
        </row>
        <row r="13">
          <cell r="D13" t="str">
            <v>0,00</v>
          </cell>
          <cell r="L13" t="str">
            <v>0,00</v>
          </cell>
        </row>
        <row r="15">
          <cell r="L15" t="str">
            <v>0,00</v>
          </cell>
        </row>
        <row r="16">
          <cell r="L16" t="str">
            <v>11.699.292,44</v>
          </cell>
        </row>
        <row r="17">
          <cell r="D17" t="str">
            <v>0,00</v>
          </cell>
          <cell r="L17" t="str">
            <v>0,00</v>
          </cell>
        </row>
        <row r="18">
          <cell r="D18" t="str">
            <v>34.465,04</v>
          </cell>
          <cell r="L18" t="str">
            <v>0,00</v>
          </cell>
        </row>
        <row r="19">
          <cell r="D19" t="str">
            <v>0,00</v>
          </cell>
          <cell r="L19" t="str">
            <v>0,00</v>
          </cell>
        </row>
        <row r="20">
          <cell r="D20" t="str">
            <v>0,00</v>
          </cell>
          <cell r="L20" t="str">
            <v>0,00</v>
          </cell>
        </row>
        <row r="21">
          <cell r="D21" t="str">
            <v>0,00</v>
          </cell>
          <cell r="L21" t="str">
            <v>0,00</v>
          </cell>
        </row>
        <row r="22">
          <cell r="D22" t="str">
            <v>0,00</v>
          </cell>
          <cell r="L22" t="str">
            <v>169.175,96</v>
          </cell>
        </row>
        <row r="23">
          <cell r="D23" t="str">
            <v>0,00</v>
          </cell>
          <cell r="L23" t="str">
            <v>1.533.107,08</v>
          </cell>
        </row>
        <row r="24">
          <cell r="D24" t="str">
            <v>579.449,91</v>
          </cell>
          <cell r="L24" t="str">
            <v>0,00</v>
          </cell>
        </row>
        <row r="25">
          <cell r="L25" t="str">
            <v>125.750,08</v>
          </cell>
        </row>
        <row r="28">
          <cell r="L28" t="str">
            <v>3.348.813,31</v>
          </cell>
        </row>
        <row r="29">
          <cell r="L29" t="str">
            <v>0,00</v>
          </cell>
        </row>
        <row r="30">
          <cell r="D30" t="str">
            <v>24.820.849,54</v>
          </cell>
          <cell r="L30" t="str">
            <v>0,00</v>
          </cell>
        </row>
        <row r="31">
          <cell r="D31" t="str">
            <v>3.817.044,58</v>
          </cell>
        </row>
        <row r="32">
          <cell r="D32" t="str">
            <v>271.095,94</v>
          </cell>
        </row>
        <row r="33">
          <cell r="D33" t="str">
            <v>-1.440.451,26</v>
          </cell>
        </row>
        <row r="35">
          <cell r="D35" t="str">
            <v>0,00</v>
          </cell>
        </row>
        <row r="36">
          <cell r="D36" t="str">
            <v>0,00</v>
          </cell>
        </row>
        <row r="37">
          <cell r="D37" t="str">
            <v>0,00</v>
          </cell>
        </row>
        <row r="38">
          <cell r="D38" t="str">
            <v>0,00</v>
          </cell>
        </row>
        <row r="39">
          <cell r="D39" t="str">
            <v>0,00</v>
          </cell>
        </row>
        <row r="40">
          <cell r="D40" t="str">
            <v>10.389.925,27</v>
          </cell>
        </row>
        <row r="41">
          <cell r="D41" t="str">
            <v>0,00</v>
          </cell>
        </row>
        <row r="42">
          <cell r="D42" t="str">
            <v>0,00</v>
          </cell>
        </row>
        <row r="43">
          <cell r="D43" t="str">
            <v>0,00</v>
          </cell>
        </row>
        <row r="44">
          <cell r="D44" t="str">
            <v>983.216,82</v>
          </cell>
          <cell r="R44">
            <v>163593514</v>
          </cell>
        </row>
      </sheetData>
      <sheetData sheetId="3">
        <row r="4">
          <cell r="D4" t="str">
            <v>-118.711,89</v>
          </cell>
          <cell r="L4" t="str">
            <v>10.850.010,29</v>
          </cell>
        </row>
        <row r="5">
          <cell r="D5" t="str">
            <v>61.936.898,57</v>
          </cell>
          <cell r="L5" t="str">
            <v>1.204.634,39</v>
          </cell>
        </row>
        <row r="6">
          <cell r="D6" t="str">
            <v>622.242,46</v>
          </cell>
          <cell r="L6" t="str">
            <v>15.959.102,11</v>
          </cell>
        </row>
        <row r="7">
          <cell r="D7" t="str">
            <v>145.991,45</v>
          </cell>
          <cell r="L7" t="str">
            <v>0,00</v>
          </cell>
        </row>
        <row r="8">
          <cell r="D8" t="str">
            <v>14.230.527,38</v>
          </cell>
          <cell r="L8" t="str">
            <v>0,00</v>
          </cell>
        </row>
        <row r="9">
          <cell r="D9" t="str">
            <v>0,00</v>
          </cell>
          <cell r="L9" t="str">
            <v>0,00</v>
          </cell>
        </row>
        <row r="10">
          <cell r="D10" t="str">
            <v>0,00</v>
          </cell>
          <cell r="L10" t="str">
            <v>53.297.290,85</v>
          </cell>
        </row>
        <row r="11">
          <cell r="D11" t="str">
            <v>776.890,29</v>
          </cell>
          <cell r="L11" t="str">
            <v>0,00</v>
          </cell>
        </row>
        <row r="12">
          <cell r="D12" t="str">
            <v>0,00</v>
          </cell>
          <cell r="L12" t="str">
            <v>2.252.046,37</v>
          </cell>
        </row>
        <row r="13">
          <cell r="D13" t="str">
            <v>7.837.143,35</v>
          </cell>
          <cell r="L13" t="str">
            <v>0,00</v>
          </cell>
        </row>
        <row r="18">
          <cell r="D18" t="str">
            <v>0,00</v>
          </cell>
          <cell r="L18" t="str">
            <v>0,00</v>
          </cell>
        </row>
        <row r="19">
          <cell r="D19" t="str">
            <v>16.453,34</v>
          </cell>
          <cell r="L19" t="str">
            <v>1.470.406,20</v>
          </cell>
        </row>
        <row r="20">
          <cell r="D20" t="str">
            <v>347.788,29</v>
          </cell>
          <cell r="L20" t="str">
            <v>0,00</v>
          </cell>
        </row>
        <row r="23">
          <cell r="D23" t="str">
            <v>0,00</v>
          </cell>
          <cell r="L23" t="str">
            <v>13.522,77</v>
          </cell>
        </row>
        <row r="26">
          <cell r="D26" t="str">
            <v>259.901,61</v>
          </cell>
          <cell r="L26" t="str">
            <v>51.940,60</v>
          </cell>
        </row>
      </sheetData>
      <sheetData sheetId="4"/>
      <sheetData sheetId="5"/>
      <sheetData sheetId="6"/>
      <sheetData sheetId="7"/>
      <sheetData sheetId="8">
        <row r="6">
          <cell r="D6">
            <v>2453</v>
          </cell>
        </row>
        <row r="10">
          <cell r="H10">
            <v>3005060.5219189115</v>
          </cell>
        </row>
      </sheetData>
      <sheetData sheetId="9"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atos"/>
      <sheetName val="Acerno_Cache_XXXXX"/>
      <sheetName val="1100"/>
      <sheetName val="2111"/>
      <sheetName val="5100"/>
      <sheetName val="5120"/>
      <sheetName val="6100"/>
      <sheetName val="7100"/>
      <sheetName val="8100"/>
    </sheetNames>
    <sheetDataSet>
      <sheetData sheetId="0"/>
      <sheetData sheetId="1"/>
      <sheetData sheetId="2">
        <row r="3">
          <cell r="D3" t="str">
            <v>0,00</v>
          </cell>
        </row>
        <row r="4">
          <cell r="L4" t="str">
            <v>2.408.114,87</v>
          </cell>
        </row>
        <row r="5">
          <cell r="D5" t="str">
            <v>95.137.480,42</v>
          </cell>
        </row>
        <row r="8">
          <cell r="L8" t="str">
            <v>0,00</v>
          </cell>
        </row>
        <row r="9">
          <cell r="L9" t="str">
            <v>115.166.990,86</v>
          </cell>
        </row>
        <row r="14">
          <cell r="D14" t="str">
            <v>0,00</v>
          </cell>
        </row>
        <row r="19">
          <cell r="D19" t="str">
            <v>0,00</v>
          </cell>
        </row>
        <row r="20">
          <cell r="L20" t="str">
            <v>0,00</v>
          </cell>
        </row>
        <row r="26">
          <cell r="L26" t="str">
            <v>0,00</v>
          </cell>
        </row>
        <row r="27">
          <cell r="L27" t="str">
            <v>1.261.163,20</v>
          </cell>
        </row>
        <row r="28">
          <cell r="D28" t="str">
            <v>30.050,61</v>
          </cell>
        </row>
        <row r="30">
          <cell r="L30" t="str">
            <v>0,00</v>
          </cell>
        </row>
        <row r="31">
          <cell r="L31" t="str">
            <v>0,00</v>
          </cell>
        </row>
        <row r="33">
          <cell r="L33" t="str">
            <v>20.974.678,78</v>
          </cell>
        </row>
        <row r="35">
          <cell r="D35" t="str">
            <v>0,00</v>
          </cell>
        </row>
        <row r="36">
          <cell r="L36" t="str">
            <v>0,00</v>
          </cell>
        </row>
        <row r="39">
          <cell r="L39" t="str">
            <v>0,00</v>
          </cell>
        </row>
        <row r="40">
          <cell r="L40" t="str">
            <v>10.911.063,15</v>
          </cell>
        </row>
        <row r="41">
          <cell r="D41" t="str">
            <v>0,00</v>
          </cell>
          <cell r="L41" t="str">
            <v>0,00</v>
          </cell>
        </row>
        <row r="42">
          <cell r="D42" t="str">
            <v>0,00</v>
          </cell>
          <cell r="L42" t="str">
            <v>2.415.653,46</v>
          </cell>
        </row>
        <row r="43">
          <cell r="D43" t="str">
            <v>0,00</v>
          </cell>
        </row>
        <row r="44">
          <cell r="D44" t="str">
            <v>41.889.411,16</v>
          </cell>
          <cell r="L44" t="str">
            <v>0,00</v>
          </cell>
        </row>
        <row r="47">
          <cell r="L47" t="str">
            <v>0,00</v>
          </cell>
        </row>
        <row r="50">
          <cell r="L50" t="str">
            <v>0,00</v>
          </cell>
        </row>
        <row r="51">
          <cell r="L51" t="str">
            <v>0,00</v>
          </cell>
        </row>
        <row r="55">
          <cell r="D55" t="str">
            <v>0,00</v>
          </cell>
        </row>
        <row r="56">
          <cell r="D56" t="str">
            <v>0,00</v>
          </cell>
        </row>
        <row r="57">
          <cell r="D57" t="str">
            <v>0,00</v>
          </cell>
        </row>
        <row r="58">
          <cell r="D58" t="str">
            <v>-277.169,59</v>
          </cell>
        </row>
        <row r="59">
          <cell r="D59" t="str">
            <v>1.609.412,16</v>
          </cell>
        </row>
        <row r="60">
          <cell r="D60" t="str">
            <v>0,00</v>
          </cell>
        </row>
        <row r="61">
          <cell r="D61" t="str">
            <v>14.748.479,56</v>
          </cell>
        </row>
      </sheetData>
      <sheetData sheetId="3">
        <row r="4">
          <cell r="D4" t="str">
            <v>861.738,64</v>
          </cell>
          <cell r="L4" t="str">
            <v>16.314.410,26</v>
          </cell>
        </row>
        <row r="5">
          <cell r="D5" t="str">
            <v>39.879.918,56</v>
          </cell>
          <cell r="L5" t="str">
            <v>389.751,87</v>
          </cell>
        </row>
        <row r="6">
          <cell r="D6" t="str">
            <v>1.194.594,41</v>
          </cell>
          <cell r="L6" t="str">
            <v>0,00</v>
          </cell>
        </row>
        <row r="7">
          <cell r="D7" t="str">
            <v>79.986,73</v>
          </cell>
          <cell r="L7" t="str">
            <v>0,00</v>
          </cell>
        </row>
        <row r="8">
          <cell r="D8" t="str">
            <v>11.804.680,59</v>
          </cell>
          <cell r="L8" t="str">
            <v>0,00</v>
          </cell>
        </row>
        <row r="9">
          <cell r="L9" t="str">
            <v>0,00</v>
          </cell>
        </row>
        <row r="10">
          <cell r="D10" t="str">
            <v>0,00</v>
          </cell>
          <cell r="L10" t="str">
            <v>36.643.106,62</v>
          </cell>
        </row>
        <row r="11">
          <cell r="D11" t="str">
            <v>0,00</v>
          </cell>
          <cell r="L11" t="str">
            <v>0,00</v>
          </cell>
        </row>
        <row r="12">
          <cell r="D12" t="str">
            <v>0,00</v>
          </cell>
          <cell r="L12" t="str">
            <v>157.413,42</v>
          </cell>
        </row>
        <row r="13">
          <cell r="D13" t="str">
            <v>14.461.227,61</v>
          </cell>
          <cell r="L13" t="str">
            <v>0,00</v>
          </cell>
        </row>
        <row r="18">
          <cell r="D18" t="str">
            <v>0,00</v>
          </cell>
          <cell r="L18" t="str">
            <v>0,00</v>
          </cell>
        </row>
        <row r="19">
          <cell r="D19" t="str">
            <v>0,00</v>
          </cell>
          <cell r="L19" t="str">
            <v>0,00</v>
          </cell>
        </row>
        <row r="20">
          <cell r="D20" t="str">
            <v>0,00</v>
          </cell>
          <cell r="L20" t="str">
            <v>0,00</v>
          </cell>
        </row>
        <row r="23">
          <cell r="D23" t="str">
            <v>0,00</v>
          </cell>
          <cell r="L23" t="str">
            <v>0,00</v>
          </cell>
        </row>
        <row r="29">
          <cell r="D29" t="str">
            <v>28.984,81</v>
          </cell>
          <cell r="L29" t="str">
            <v>0,00</v>
          </cell>
        </row>
      </sheetData>
      <sheetData sheetId="4"/>
      <sheetData sheetId="5"/>
      <sheetData sheetId="6"/>
      <sheetData sheetId="7"/>
      <sheetData sheetId="8">
        <row r="6">
          <cell r="D6">
            <v>1761</v>
          </cell>
        </row>
        <row r="10">
          <cell r="H10">
            <v>0</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atos"/>
      <sheetName val="Acerno_Cache_XXXXX"/>
      <sheetName val="1100"/>
      <sheetName val="2111"/>
      <sheetName val="5100"/>
      <sheetName val="5120"/>
      <sheetName val="6100"/>
      <sheetName val="7100"/>
      <sheetName val="8100"/>
    </sheetNames>
    <sheetDataSet>
      <sheetData sheetId="0"/>
      <sheetData sheetId="1"/>
      <sheetData sheetId="2">
        <row r="3">
          <cell r="D3" t="str">
            <v>0,00</v>
          </cell>
        </row>
        <row r="4">
          <cell r="L4" t="str">
            <v>9.070.301,25</v>
          </cell>
        </row>
        <row r="5">
          <cell r="D5" t="str">
            <v>21.316.276,59</v>
          </cell>
        </row>
        <row r="8">
          <cell r="L8" t="str">
            <v>2.344.807,75</v>
          </cell>
        </row>
        <row r="9">
          <cell r="L9" t="str">
            <v>14.195.280,45</v>
          </cell>
        </row>
        <row r="14">
          <cell r="D14" t="str">
            <v>1.967.790,87</v>
          </cell>
        </row>
        <row r="19">
          <cell r="D19" t="str">
            <v>0,00</v>
          </cell>
        </row>
        <row r="20">
          <cell r="L20" t="str">
            <v>0,00</v>
          </cell>
        </row>
        <row r="26">
          <cell r="L26" t="str">
            <v>0,00</v>
          </cell>
        </row>
        <row r="27">
          <cell r="L27" t="str">
            <v>90.924,04</v>
          </cell>
        </row>
        <row r="28">
          <cell r="D28" t="str">
            <v>0,00</v>
          </cell>
        </row>
        <row r="30">
          <cell r="L30" t="str">
            <v>0,00</v>
          </cell>
        </row>
        <row r="31">
          <cell r="L31" t="str">
            <v>0,00</v>
          </cell>
        </row>
        <row r="33">
          <cell r="L33" t="str">
            <v>3.516.755,78</v>
          </cell>
        </row>
        <row r="35">
          <cell r="D35" t="str">
            <v>0,00</v>
          </cell>
        </row>
        <row r="36">
          <cell r="L36" t="str">
            <v>0,00</v>
          </cell>
        </row>
        <row r="39">
          <cell r="L39" t="str">
            <v>0,00</v>
          </cell>
        </row>
        <row r="40">
          <cell r="L40" t="str">
            <v>79.776,80</v>
          </cell>
        </row>
        <row r="41">
          <cell r="D41" t="str">
            <v>0,00</v>
          </cell>
          <cell r="L41" t="str">
            <v>0,00</v>
          </cell>
        </row>
        <row r="42">
          <cell r="D42" t="str">
            <v>12.263,55</v>
          </cell>
          <cell r="L42" t="str">
            <v>902.317,25</v>
          </cell>
        </row>
        <row r="43">
          <cell r="D43" t="str">
            <v>0,00</v>
          </cell>
        </row>
        <row r="44">
          <cell r="D44" t="str">
            <v>9.040.469,23</v>
          </cell>
          <cell r="L44" t="str">
            <v>1.078.250,24</v>
          </cell>
        </row>
        <row r="47">
          <cell r="L47" t="str">
            <v>137.603,96</v>
          </cell>
        </row>
        <row r="50">
          <cell r="L50" t="str">
            <v>2.607.385,12</v>
          </cell>
        </row>
        <row r="51">
          <cell r="L51" t="str">
            <v>0,00</v>
          </cell>
        </row>
        <row r="55">
          <cell r="D55" t="str">
            <v>0,00</v>
          </cell>
        </row>
        <row r="56">
          <cell r="D56" t="str">
            <v>0,00</v>
          </cell>
        </row>
        <row r="57">
          <cell r="D57" t="str">
            <v>837.411,31</v>
          </cell>
        </row>
        <row r="58">
          <cell r="D58" t="str">
            <v>0,00</v>
          </cell>
        </row>
        <row r="59">
          <cell r="D59" t="str">
            <v>455.249,93</v>
          </cell>
        </row>
        <row r="60">
          <cell r="D60" t="str">
            <v>0,00</v>
          </cell>
        </row>
        <row r="61">
          <cell r="D61" t="str">
            <v>393.941,15</v>
          </cell>
        </row>
      </sheetData>
      <sheetData sheetId="3">
        <row r="4">
          <cell r="D4" t="str">
            <v>0,00</v>
          </cell>
          <cell r="L4" t="str">
            <v>1.630.692,03</v>
          </cell>
        </row>
        <row r="5">
          <cell r="D5" t="str">
            <v>15.591.113,93</v>
          </cell>
          <cell r="L5" t="str">
            <v>125.389,42</v>
          </cell>
        </row>
        <row r="6">
          <cell r="D6" t="str">
            <v>22.673,03</v>
          </cell>
          <cell r="L6" t="str">
            <v>0,00</v>
          </cell>
        </row>
        <row r="7">
          <cell r="D7" t="str">
            <v>3.623,93</v>
          </cell>
          <cell r="L7" t="str">
            <v>0,00</v>
          </cell>
        </row>
        <row r="8">
          <cell r="D8" t="str">
            <v>3.014.265,38</v>
          </cell>
          <cell r="L8" t="str">
            <v>0,00</v>
          </cell>
        </row>
        <row r="9">
          <cell r="L9" t="str">
            <v>0,00</v>
          </cell>
        </row>
        <row r="10">
          <cell r="D10" t="str">
            <v>0,00</v>
          </cell>
          <cell r="L10" t="str">
            <v>17.099.658,82</v>
          </cell>
        </row>
        <row r="11">
          <cell r="D11" t="str">
            <v>482.929,44</v>
          </cell>
          <cell r="L11" t="str">
            <v>0,00</v>
          </cell>
        </row>
        <row r="12">
          <cell r="D12" t="str">
            <v>0,00</v>
          </cell>
          <cell r="L12" t="str">
            <v>12.388,68</v>
          </cell>
        </row>
        <row r="13">
          <cell r="D13" t="str">
            <v>95.422,74</v>
          </cell>
          <cell r="L13" t="str">
            <v>0,00</v>
          </cell>
        </row>
        <row r="18">
          <cell r="D18" t="str">
            <v>0,00</v>
          </cell>
          <cell r="L18" t="str">
            <v>0,00</v>
          </cell>
        </row>
        <row r="19">
          <cell r="D19" t="str">
            <v>0,00</v>
          </cell>
          <cell r="L19" t="str">
            <v>0,00</v>
          </cell>
        </row>
        <row r="20">
          <cell r="D20" t="str">
            <v>0,00</v>
          </cell>
          <cell r="L20" t="str">
            <v>53.500,61</v>
          </cell>
        </row>
        <row r="23">
          <cell r="D23" t="str">
            <v>0,00</v>
          </cell>
          <cell r="L23" t="str">
            <v>0,00</v>
          </cell>
        </row>
        <row r="29">
          <cell r="D29" t="str">
            <v>0,00</v>
          </cell>
          <cell r="L29" t="str">
            <v>105.542,26</v>
          </cell>
        </row>
      </sheetData>
      <sheetData sheetId="4"/>
      <sheetData sheetId="5"/>
      <sheetData sheetId="6"/>
      <sheetData sheetId="7"/>
      <sheetData sheetId="8">
        <row r="6">
          <cell r="D6">
            <v>2126</v>
          </cell>
        </row>
        <row r="10">
          <cell r="H10">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0,00</v>
          </cell>
        </row>
        <row r="4">
          <cell r="D4" t="str">
            <v>35.579.405,54</v>
          </cell>
          <cell r="L4" t="str">
            <v>0,00</v>
          </cell>
        </row>
        <row r="5">
          <cell r="D5" t="str">
            <v>0,00</v>
          </cell>
          <cell r="L5" t="str">
            <v>0,00</v>
          </cell>
        </row>
        <row r="6">
          <cell r="D6" t="str">
            <v>48.237,61</v>
          </cell>
          <cell r="L6" t="str">
            <v>0,00</v>
          </cell>
        </row>
        <row r="7">
          <cell r="L7" t="str">
            <v>0,00</v>
          </cell>
        </row>
        <row r="14">
          <cell r="L14" t="str">
            <v>0,00</v>
          </cell>
        </row>
        <row r="17">
          <cell r="D17" t="str">
            <v>35.531.167,93</v>
          </cell>
          <cell r="L17" t="str">
            <v>-4.739.736,19</v>
          </cell>
        </row>
        <row r="18">
          <cell r="L18" t="str">
            <v>4.739.736,19</v>
          </cell>
        </row>
        <row r="19">
          <cell r="L19" t="str">
            <v>0,00</v>
          </cell>
        </row>
        <row r="20">
          <cell r="L20" t="str">
            <v>0,00</v>
          </cell>
        </row>
        <row r="21">
          <cell r="L21" t="str">
            <v>34.264.255,45</v>
          </cell>
        </row>
        <row r="25">
          <cell r="D25" t="str">
            <v>0,00</v>
          </cell>
        </row>
        <row r="26">
          <cell r="L26" t="str">
            <v>0,00</v>
          </cell>
        </row>
        <row r="31">
          <cell r="L31" t="str">
            <v>240,40</v>
          </cell>
        </row>
        <row r="32">
          <cell r="L32" t="str">
            <v>0,00</v>
          </cell>
        </row>
        <row r="35">
          <cell r="D35" t="str">
            <v>0,00</v>
          </cell>
        </row>
        <row r="36">
          <cell r="D36" t="str">
            <v>0,00</v>
          </cell>
          <cell r="L36" t="str">
            <v>0,00</v>
          </cell>
        </row>
        <row r="37">
          <cell r="D37" t="str">
            <v>0,00</v>
          </cell>
        </row>
        <row r="38">
          <cell r="D38" t="str">
            <v>1.424.866,92</v>
          </cell>
        </row>
        <row r="39">
          <cell r="D39" t="str">
            <v>0,00</v>
          </cell>
          <cell r="L39" t="str">
            <v>0,00</v>
          </cell>
        </row>
        <row r="40">
          <cell r="D40" t="str">
            <v>0,00</v>
          </cell>
        </row>
        <row r="42">
          <cell r="L42" t="str">
            <v>240,40</v>
          </cell>
        </row>
        <row r="47">
          <cell r="L47" t="str">
            <v>0,00</v>
          </cell>
        </row>
        <row r="48">
          <cell r="D48" t="str">
            <v>626.097,45</v>
          </cell>
        </row>
        <row r="51">
          <cell r="L51" t="str">
            <v>0,00</v>
          </cell>
        </row>
        <row r="52">
          <cell r="L52" t="str">
            <v>2.739.776,60</v>
          </cell>
        </row>
        <row r="53">
          <cell r="L53" t="str">
            <v>0,00</v>
          </cell>
        </row>
        <row r="56">
          <cell r="D56" t="str">
            <v>0,00</v>
          </cell>
        </row>
        <row r="58">
          <cell r="L58" t="str">
            <v>0,00</v>
          </cell>
        </row>
        <row r="62">
          <cell r="L62" t="str">
            <v>0,00</v>
          </cell>
        </row>
        <row r="65">
          <cell r="D65" t="str">
            <v>0,00</v>
          </cell>
          <cell r="L65" t="str">
            <v>480.345,35</v>
          </cell>
        </row>
        <row r="66">
          <cell r="D66" t="str">
            <v>798.769,48</v>
          </cell>
        </row>
        <row r="67">
          <cell r="D67" t="str">
            <v>0,00</v>
          </cell>
        </row>
        <row r="69">
          <cell r="L69" t="str">
            <v>2.259.431,26</v>
          </cell>
        </row>
        <row r="75">
          <cell r="L75" t="str">
            <v>0,00</v>
          </cell>
        </row>
        <row r="76">
          <cell r="L76" t="str">
            <v>0,00</v>
          </cell>
        </row>
        <row r="77">
          <cell r="L77" t="str">
            <v>0,00</v>
          </cell>
        </row>
      </sheetData>
      <sheetData sheetId="2">
        <row r="4">
          <cell r="D4" t="str">
            <v>0,00</v>
          </cell>
          <cell r="L4" t="str">
            <v>956.703,59</v>
          </cell>
        </row>
        <row r="5">
          <cell r="D5" t="str">
            <v>1.194.711,95</v>
          </cell>
        </row>
        <row r="9">
          <cell r="L9" t="str">
            <v>0,00</v>
          </cell>
        </row>
        <row r="10">
          <cell r="L10" t="str">
            <v>0,00</v>
          </cell>
        </row>
        <row r="11">
          <cell r="D11" t="str">
            <v>1.116.104,68</v>
          </cell>
          <cell r="L11" t="str">
            <v>0,00</v>
          </cell>
        </row>
        <row r="12">
          <cell r="D12" t="str">
            <v>324.560,83</v>
          </cell>
        </row>
        <row r="13">
          <cell r="D13" t="str">
            <v>254.816,44</v>
          </cell>
        </row>
        <row r="14">
          <cell r="D14" t="str">
            <v>32.026,52</v>
          </cell>
        </row>
        <row r="16">
          <cell r="L16" t="str">
            <v>0,00</v>
          </cell>
        </row>
        <row r="18">
          <cell r="D18" t="str">
            <v>3.088.426,00</v>
          </cell>
        </row>
        <row r="20">
          <cell r="L20" t="str">
            <v>0,00</v>
          </cell>
        </row>
        <row r="24">
          <cell r="D24" t="str">
            <v>4.723,42</v>
          </cell>
          <cell r="L24" t="str">
            <v>45.593,45</v>
          </cell>
        </row>
        <row r="29">
          <cell r="D29" t="str">
            <v>0,00</v>
          </cell>
          <cell r="L29" t="str">
            <v>33.086,02</v>
          </cell>
        </row>
        <row r="30">
          <cell r="D30" t="str">
            <v>33.788,76</v>
          </cell>
        </row>
        <row r="32">
          <cell r="L32" t="str">
            <v>0,00</v>
          </cell>
        </row>
        <row r="33">
          <cell r="D33" t="str">
            <v>0,00</v>
          </cell>
          <cell r="L33" t="str">
            <v>0,00</v>
          </cell>
        </row>
        <row r="34">
          <cell r="D34" t="str">
            <v>0,00</v>
          </cell>
          <cell r="L34" t="str">
            <v>254.816,44</v>
          </cell>
        </row>
        <row r="35">
          <cell r="D35" t="str">
            <v>0,00</v>
          </cell>
          <cell r="L35" t="str">
            <v>0,00</v>
          </cell>
        </row>
        <row r="36">
          <cell r="D36" t="str">
            <v>0,00</v>
          </cell>
          <cell r="L36" t="str">
            <v>19.222,91</v>
          </cell>
        </row>
        <row r="37">
          <cell r="D37" t="str">
            <v>0,00</v>
          </cell>
        </row>
        <row r="40">
          <cell r="D40" t="str">
            <v>0,00</v>
          </cell>
        </row>
        <row r="41">
          <cell r="D41" t="str">
            <v>0,00</v>
          </cell>
        </row>
      </sheetData>
      <sheetData sheetId="3">
        <row r="6">
          <cell r="D6">
            <v>62</v>
          </cell>
        </row>
        <row r="10">
          <cell r="H10">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-252.274,83</v>
          </cell>
        </row>
        <row r="4">
          <cell r="D4" t="str">
            <v>2.120.761,36</v>
          </cell>
          <cell r="L4" t="str">
            <v>0,00</v>
          </cell>
        </row>
        <row r="5">
          <cell r="D5" t="str">
            <v>0,00</v>
          </cell>
          <cell r="L5" t="str">
            <v>0,00</v>
          </cell>
        </row>
        <row r="6">
          <cell r="D6" t="str">
            <v>12.350,80</v>
          </cell>
          <cell r="L6" t="str">
            <v>0,00</v>
          </cell>
        </row>
        <row r="7">
          <cell r="L7" t="str">
            <v>0,00</v>
          </cell>
        </row>
        <row r="14">
          <cell r="L14" t="str">
            <v>0,00</v>
          </cell>
        </row>
        <row r="17">
          <cell r="D17" t="str">
            <v>2.097.381,99</v>
          </cell>
          <cell r="L17" t="str">
            <v>-8.495.528,47</v>
          </cell>
        </row>
        <row r="18">
          <cell r="L18" t="str">
            <v>8.243.253,64</v>
          </cell>
        </row>
        <row r="19">
          <cell r="L19" t="str">
            <v>0,00</v>
          </cell>
        </row>
        <row r="20">
          <cell r="L20" t="str">
            <v>0,00</v>
          </cell>
        </row>
        <row r="21">
          <cell r="L21" t="str">
            <v>1.951.498,32</v>
          </cell>
        </row>
        <row r="25">
          <cell r="D25" t="str">
            <v>11.028,57</v>
          </cell>
        </row>
        <row r="26">
          <cell r="L26" t="str">
            <v>2.999,05</v>
          </cell>
        </row>
        <row r="31">
          <cell r="L31" t="str">
            <v>4.495,57</v>
          </cell>
        </row>
        <row r="32">
          <cell r="L32" t="str">
            <v>0,00</v>
          </cell>
        </row>
        <row r="35">
          <cell r="D35" t="str">
            <v>0,00</v>
          </cell>
        </row>
        <row r="36">
          <cell r="D36" t="str">
            <v>0,00</v>
          </cell>
          <cell r="L36" t="str">
            <v>0,00</v>
          </cell>
        </row>
        <row r="37">
          <cell r="D37" t="str">
            <v>0,00</v>
          </cell>
        </row>
        <row r="38">
          <cell r="D38" t="str">
            <v>2.632.925,85</v>
          </cell>
        </row>
        <row r="39">
          <cell r="D39" t="str">
            <v>0,00</v>
          </cell>
          <cell r="L39" t="str">
            <v>0,00</v>
          </cell>
        </row>
        <row r="40">
          <cell r="D40" t="str">
            <v>0,00</v>
          </cell>
        </row>
        <row r="42">
          <cell r="L42" t="str">
            <v>4.495,57</v>
          </cell>
        </row>
        <row r="47">
          <cell r="L47" t="str">
            <v>0,00</v>
          </cell>
        </row>
        <row r="48">
          <cell r="D48" t="str">
            <v>2.477.762,55</v>
          </cell>
        </row>
        <row r="51">
          <cell r="L51" t="str">
            <v>0,00</v>
          </cell>
        </row>
        <row r="52">
          <cell r="L52" t="str">
            <v>3.046.969,10</v>
          </cell>
        </row>
        <row r="53">
          <cell r="L53" t="str">
            <v>0,00</v>
          </cell>
        </row>
        <row r="56">
          <cell r="D56" t="str">
            <v>10.373,47</v>
          </cell>
        </row>
        <row r="58">
          <cell r="L58" t="str">
            <v>1.011.208,88</v>
          </cell>
        </row>
        <row r="62">
          <cell r="L62" t="str">
            <v>0,00</v>
          </cell>
        </row>
        <row r="65">
          <cell r="D65" t="str">
            <v>0,00</v>
          </cell>
          <cell r="L65" t="str">
            <v>1.674.497,85</v>
          </cell>
        </row>
        <row r="66">
          <cell r="D66" t="str">
            <v>144.789,83</v>
          </cell>
        </row>
        <row r="67">
          <cell r="D67" t="str">
            <v>0,00</v>
          </cell>
        </row>
        <row r="69">
          <cell r="L69" t="str">
            <v>361.262,37</v>
          </cell>
        </row>
        <row r="75">
          <cell r="L75" t="str">
            <v>0,00</v>
          </cell>
        </row>
        <row r="76">
          <cell r="L76" t="str">
            <v>0,00</v>
          </cell>
        </row>
        <row r="77">
          <cell r="L77" t="str">
            <v>0,00</v>
          </cell>
        </row>
      </sheetData>
      <sheetData sheetId="2">
        <row r="4">
          <cell r="D4" t="str">
            <v>0,00</v>
          </cell>
          <cell r="L4" t="str">
            <v>1.906.007,72</v>
          </cell>
        </row>
        <row r="5">
          <cell r="D5" t="str">
            <v>4.939.904,80</v>
          </cell>
        </row>
        <row r="9">
          <cell r="L9" t="str">
            <v>0,00</v>
          </cell>
        </row>
        <row r="10">
          <cell r="L10" t="str">
            <v>0,00</v>
          </cell>
        </row>
        <row r="11">
          <cell r="D11" t="str">
            <v>2.286.051,71</v>
          </cell>
          <cell r="L11" t="str">
            <v>1.003.678,19</v>
          </cell>
        </row>
        <row r="12">
          <cell r="D12" t="str">
            <v>629.211,59</v>
          </cell>
        </row>
        <row r="13">
          <cell r="D13" t="str">
            <v>202.985,83</v>
          </cell>
        </row>
        <row r="14">
          <cell r="D14" t="str">
            <v>0,00</v>
          </cell>
        </row>
        <row r="16">
          <cell r="L16" t="str">
            <v>0,00</v>
          </cell>
        </row>
        <row r="18">
          <cell r="D18" t="str">
            <v>3.514.340,15</v>
          </cell>
        </row>
        <row r="20">
          <cell r="L20" t="str">
            <v>0,00</v>
          </cell>
        </row>
        <row r="24">
          <cell r="D24" t="str">
            <v>61.495,56</v>
          </cell>
          <cell r="L24" t="str">
            <v>51.476,69</v>
          </cell>
        </row>
        <row r="29">
          <cell r="D29" t="str">
            <v>0,00</v>
          </cell>
          <cell r="L29" t="str">
            <v>0,00</v>
          </cell>
        </row>
        <row r="30">
          <cell r="D30" t="str">
            <v>54,09</v>
          </cell>
        </row>
        <row r="32">
          <cell r="L32" t="str">
            <v>0,00</v>
          </cell>
        </row>
        <row r="33">
          <cell r="D33" t="str">
            <v>0,00</v>
          </cell>
          <cell r="L33" t="str">
            <v>0,00</v>
          </cell>
        </row>
        <row r="34">
          <cell r="D34" t="str">
            <v>0,00</v>
          </cell>
          <cell r="L34" t="str">
            <v>202.985,83</v>
          </cell>
        </row>
        <row r="35">
          <cell r="D35" t="str">
            <v>0,00</v>
          </cell>
          <cell r="L35" t="str">
            <v>1.460,46</v>
          </cell>
        </row>
        <row r="36">
          <cell r="D36" t="str">
            <v>27.093,63</v>
          </cell>
          <cell r="L36" t="str">
            <v>0,00</v>
          </cell>
        </row>
        <row r="37">
          <cell r="D37" t="str">
            <v>0,00</v>
          </cell>
        </row>
        <row r="40">
          <cell r="D40" t="str">
            <v>0,00</v>
          </cell>
        </row>
        <row r="41">
          <cell r="D41" t="str">
            <v>0,00</v>
          </cell>
        </row>
      </sheetData>
      <sheetData sheetId="3">
        <row r="6">
          <cell r="D6">
            <v>77</v>
          </cell>
        </row>
        <row r="10">
          <cell r="H1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2.530.873,99</v>
          </cell>
        </row>
        <row r="4">
          <cell r="D4" t="str">
            <v>17.865.691,83</v>
          </cell>
          <cell r="L4" t="str">
            <v>2.547.047,23</v>
          </cell>
        </row>
        <row r="5">
          <cell r="D5" t="str">
            <v>0,00</v>
          </cell>
          <cell r="L5" t="str">
            <v>0,00</v>
          </cell>
        </row>
        <row r="6">
          <cell r="D6" t="str">
            <v>460.898,15</v>
          </cell>
          <cell r="L6" t="str">
            <v>0,00</v>
          </cell>
        </row>
        <row r="7">
          <cell r="L7" t="str">
            <v>0,00</v>
          </cell>
        </row>
        <row r="14">
          <cell r="L14" t="str">
            <v>-16.173,24</v>
          </cell>
        </row>
        <row r="17">
          <cell r="D17" t="str">
            <v>17.399.438,65</v>
          </cell>
          <cell r="L17" t="str">
            <v>-13.725.649,99</v>
          </cell>
        </row>
        <row r="18">
          <cell r="L18" t="str">
            <v>13.725.649,99</v>
          </cell>
        </row>
        <row r="19">
          <cell r="L19" t="str">
            <v>0,00</v>
          </cell>
        </row>
        <row r="20">
          <cell r="L20" t="str">
            <v>0,00</v>
          </cell>
        </row>
        <row r="21">
          <cell r="L21" t="str">
            <v>15.988.731,02</v>
          </cell>
        </row>
        <row r="25">
          <cell r="D25" t="str">
            <v>5.355,02</v>
          </cell>
        </row>
        <row r="26">
          <cell r="L26" t="str">
            <v>0,00</v>
          </cell>
        </row>
        <row r="31">
          <cell r="L31" t="str">
            <v>12.621,25</v>
          </cell>
        </row>
        <row r="32">
          <cell r="L32" t="str">
            <v>0,00</v>
          </cell>
        </row>
        <row r="35">
          <cell r="D35" t="str">
            <v>0,00</v>
          </cell>
        </row>
        <row r="36">
          <cell r="D36" t="str">
            <v>0,00</v>
          </cell>
          <cell r="L36" t="str">
            <v>0,00</v>
          </cell>
        </row>
        <row r="37">
          <cell r="D37" t="str">
            <v>0,00</v>
          </cell>
        </row>
        <row r="38">
          <cell r="D38" t="str">
            <v>12.050.587,19</v>
          </cell>
        </row>
        <row r="39">
          <cell r="D39" t="str">
            <v>0,00</v>
          </cell>
          <cell r="L39" t="str">
            <v>0,00</v>
          </cell>
        </row>
        <row r="40">
          <cell r="D40" t="str">
            <v>35.712,14</v>
          </cell>
        </row>
        <row r="42">
          <cell r="L42" t="str">
            <v>12.621,25</v>
          </cell>
        </row>
        <row r="47">
          <cell r="L47" t="str">
            <v>0,00</v>
          </cell>
        </row>
        <row r="48">
          <cell r="D48" t="str">
            <v>9.316.318,68</v>
          </cell>
        </row>
        <row r="51">
          <cell r="L51" t="str">
            <v>0,00</v>
          </cell>
        </row>
        <row r="52">
          <cell r="L52" t="str">
            <v>11.384.052,74</v>
          </cell>
        </row>
        <row r="53">
          <cell r="L53" t="str">
            <v>0,00</v>
          </cell>
        </row>
        <row r="56">
          <cell r="D56" t="str">
            <v>34.215,62</v>
          </cell>
        </row>
        <row r="58">
          <cell r="L58" t="str">
            <v>0,00</v>
          </cell>
        </row>
        <row r="62">
          <cell r="L62" t="str">
            <v>6.142.043,20</v>
          </cell>
        </row>
        <row r="65">
          <cell r="D65" t="str">
            <v>0,00</v>
          </cell>
          <cell r="L65" t="str">
            <v>4.602.797,11</v>
          </cell>
        </row>
        <row r="66">
          <cell r="D66" t="str">
            <v>2.660.031,49</v>
          </cell>
        </row>
        <row r="67">
          <cell r="D67" t="str">
            <v>4.309,26</v>
          </cell>
        </row>
        <row r="69">
          <cell r="L69" t="str">
            <v>639.212,43</v>
          </cell>
        </row>
        <row r="75">
          <cell r="L75" t="str">
            <v>0,00</v>
          </cell>
        </row>
        <row r="76">
          <cell r="L76" t="str">
            <v>0,00</v>
          </cell>
        </row>
        <row r="77">
          <cell r="L77" t="str">
            <v>0,00</v>
          </cell>
        </row>
      </sheetData>
      <sheetData sheetId="2">
        <row r="4">
          <cell r="D4" t="str">
            <v>6.300.337,77</v>
          </cell>
          <cell r="L4" t="str">
            <v>24.196,75</v>
          </cell>
        </row>
        <row r="5">
          <cell r="D5" t="str">
            <v>2.284.747,51</v>
          </cell>
        </row>
        <row r="9">
          <cell r="L9" t="str">
            <v>0,00</v>
          </cell>
        </row>
        <row r="10">
          <cell r="L10" t="str">
            <v>0,00</v>
          </cell>
        </row>
        <row r="11">
          <cell r="D11" t="str">
            <v>1.830.196,05</v>
          </cell>
          <cell r="L11" t="str">
            <v>148.107,41</v>
          </cell>
        </row>
        <row r="12">
          <cell r="D12" t="str">
            <v>489.890,98</v>
          </cell>
        </row>
        <row r="13">
          <cell r="D13" t="str">
            <v>2.888.091,55</v>
          </cell>
        </row>
        <row r="14">
          <cell r="D14" t="str">
            <v>0,00</v>
          </cell>
        </row>
        <row r="16">
          <cell r="L16" t="str">
            <v>0,00</v>
          </cell>
        </row>
        <row r="18">
          <cell r="D18" t="str">
            <v>11.004.778,05</v>
          </cell>
        </row>
        <row r="20">
          <cell r="L20" t="str">
            <v>0,00</v>
          </cell>
        </row>
        <row r="24">
          <cell r="D24" t="str">
            <v>0,00</v>
          </cell>
          <cell r="L24" t="str">
            <v>261.253,95</v>
          </cell>
        </row>
        <row r="29">
          <cell r="D29" t="str">
            <v>0,00</v>
          </cell>
          <cell r="L29" t="str">
            <v>3.449,81</v>
          </cell>
        </row>
        <row r="30">
          <cell r="D30" t="str">
            <v>1.893,19</v>
          </cell>
        </row>
        <row r="32">
          <cell r="L32" t="str">
            <v>0,00</v>
          </cell>
        </row>
        <row r="33">
          <cell r="D33" t="str">
            <v>0,00</v>
          </cell>
          <cell r="L33" t="str">
            <v>0,00</v>
          </cell>
        </row>
        <row r="34">
          <cell r="D34" t="str">
            <v>1.582.879,57</v>
          </cell>
          <cell r="L34" t="str">
            <v>12.192.582,31</v>
          </cell>
        </row>
        <row r="35">
          <cell r="D35" t="str">
            <v>0,00</v>
          </cell>
          <cell r="L35" t="str">
            <v>27.796,81</v>
          </cell>
        </row>
        <row r="36">
          <cell r="D36" t="str">
            <v>222,37</v>
          </cell>
          <cell r="L36" t="str">
            <v>230.440,06</v>
          </cell>
        </row>
        <row r="37">
          <cell r="D37" t="str">
            <v>230.440,06</v>
          </cell>
        </row>
        <row r="40">
          <cell r="D40" t="str">
            <v>0,00</v>
          </cell>
        </row>
        <row r="41">
          <cell r="D41" t="str">
            <v>0,00</v>
          </cell>
        </row>
      </sheetData>
      <sheetData sheetId="3">
        <row r="6">
          <cell r="D6">
            <v>82</v>
          </cell>
        </row>
        <row r="10">
          <cell r="H1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0,00</v>
          </cell>
        </row>
        <row r="4">
          <cell r="D4" t="str">
            <v>30.555.948,22</v>
          </cell>
          <cell r="L4" t="str">
            <v>0,00</v>
          </cell>
        </row>
        <row r="5">
          <cell r="D5" t="str">
            <v>0,00</v>
          </cell>
          <cell r="L5" t="str">
            <v>0,00</v>
          </cell>
        </row>
        <row r="6">
          <cell r="D6" t="str">
            <v>63.749,35</v>
          </cell>
          <cell r="L6" t="str">
            <v>0,00</v>
          </cell>
        </row>
        <row r="7">
          <cell r="L7" t="str">
            <v>0,00</v>
          </cell>
        </row>
        <row r="14">
          <cell r="L14" t="str">
            <v>0,00</v>
          </cell>
        </row>
        <row r="17">
          <cell r="D17" t="str">
            <v>154.562,28</v>
          </cell>
          <cell r="L17" t="str">
            <v>-1.217.668,55</v>
          </cell>
        </row>
        <row r="18">
          <cell r="L18" t="str">
            <v>1.217.668,55</v>
          </cell>
        </row>
        <row r="19">
          <cell r="L19" t="str">
            <v>0,00</v>
          </cell>
        </row>
        <row r="20">
          <cell r="L20" t="str">
            <v>0,00</v>
          </cell>
        </row>
        <row r="21">
          <cell r="L21" t="str">
            <v>62.829,81</v>
          </cell>
        </row>
        <row r="25">
          <cell r="D25" t="str">
            <v>30.337.636,58</v>
          </cell>
        </row>
        <row r="26">
          <cell r="L26" t="str">
            <v>0,00</v>
          </cell>
        </row>
        <row r="31">
          <cell r="L31" t="str">
            <v>33.523.253,16</v>
          </cell>
        </row>
        <row r="32">
          <cell r="L32" t="str">
            <v>0,00</v>
          </cell>
        </row>
        <row r="35">
          <cell r="D35" t="str">
            <v>0,00</v>
          </cell>
        </row>
        <row r="36">
          <cell r="D36" t="str">
            <v>0,00</v>
          </cell>
          <cell r="L36" t="str">
            <v>33.523.253,16</v>
          </cell>
        </row>
        <row r="37">
          <cell r="D37" t="str">
            <v>0,00</v>
          </cell>
        </row>
        <row r="38">
          <cell r="D38" t="str">
            <v>41.197.979,40</v>
          </cell>
        </row>
        <row r="39">
          <cell r="D39" t="str">
            <v>0,00</v>
          </cell>
          <cell r="L39" t="str">
            <v>0,00</v>
          </cell>
        </row>
        <row r="40">
          <cell r="D40" t="str">
            <v>0,00</v>
          </cell>
        </row>
        <row r="42">
          <cell r="L42" t="str">
            <v>0,00</v>
          </cell>
        </row>
        <row r="47">
          <cell r="L47" t="str">
            <v>0,00</v>
          </cell>
        </row>
        <row r="48">
          <cell r="D48" t="str">
            <v>40.995.907,11</v>
          </cell>
        </row>
        <row r="51">
          <cell r="L51" t="str">
            <v>0,00</v>
          </cell>
        </row>
        <row r="52">
          <cell r="L52" t="str">
            <v>38.167.844,65</v>
          </cell>
        </row>
        <row r="53">
          <cell r="L53" t="str">
            <v>0,00</v>
          </cell>
        </row>
        <row r="56">
          <cell r="D56" t="str">
            <v>0,00</v>
          </cell>
        </row>
        <row r="58">
          <cell r="L58" t="str">
            <v>16.816.426,86</v>
          </cell>
        </row>
        <row r="62">
          <cell r="L62" t="str">
            <v>0,00</v>
          </cell>
        </row>
        <row r="65">
          <cell r="D65" t="str">
            <v>0,00</v>
          </cell>
          <cell r="L65" t="str">
            <v>20.967.683,58</v>
          </cell>
        </row>
        <row r="66">
          <cell r="D66" t="str">
            <v>201.675,62</v>
          </cell>
        </row>
        <row r="67">
          <cell r="D67" t="str">
            <v>396,67</v>
          </cell>
        </row>
        <row r="69">
          <cell r="L69" t="str">
            <v>383.734,21</v>
          </cell>
        </row>
        <row r="75">
          <cell r="L75" t="str">
            <v>0,00</v>
          </cell>
        </row>
        <row r="76">
          <cell r="L76" t="str">
            <v>0,00</v>
          </cell>
        </row>
        <row r="77">
          <cell r="L77" t="str">
            <v>0,00</v>
          </cell>
        </row>
      </sheetData>
      <sheetData sheetId="2">
        <row r="4">
          <cell r="D4" t="str">
            <v>0,00</v>
          </cell>
          <cell r="L4" t="str">
            <v>0,00</v>
          </cell>
        </row>
        <row r="5">
          <cell r="D5" t="str">
            <v>0,00</v>
          </cell>
        </row>
        <row r="9">
          <cell r="L9" t="str">
            <v>0,00</v>
          </cell>
        </row>
        <row r="10">
          <cell r="L10" t="str">
            <v>0,00</v>
          </cell>
        </row>
        <row r="11">
          <cell r="D11" t="str">
            <v>672.418,35</v>
          </cell>
          <cell r="L11" t="str">
            <v>0,00</v>
          </cell>
        </row>
        <row r="12">
          <cell r="D12" t="str">
            <v>178.374,38</v>
          </cell>
        </row>
        <row r="13">
          <cell r="D13" t="str">
            <v>57.871,46</v>
          </cell>
        </row>
        <row r="14">
          <cell r="D14" t="str">
            <v>0,00</v>
          </cell>
        </row>
        <row r="16">
          <cell r="L16" t="str">
            <v>0,00</v>
          </cell>
        </row>
        <row r="18">
          <cell r="D18" t="str">
            <v>373.889,63</v>
          </cell>
        </row>
        <row r="20">
          <cell r="L20" t="str">
            <v>0,00</v>
          </cell>
        </row>
        <row r="24">
          <cell r="D24" t="str">
            <v>12.477,01</v>
          </cell>
          <cell r="L24" t="str">
            <v>53.411,95</v>
          </cell>
        </row>
        <row r="29">
          <cell r="D29" t="str">
            <v>0,00</v>
          </cell>
          <cell r="L29" t="str">
            <v>0,00</v>
          </cell>
        </row>
        <row r="30">
          <cell r="D30" t="str">
            <v>0,00</v>
          </cell>
        </row>
        <row r="32">
          <cell r="L32" t="str">
            <v>0,00</v>
          </cell>
        </row>
        <row r="33">
          <cell r="D33" t="str">
            <v>0,00</v>
          </cell>
          <cell r="L33" t="str">
            <v>0,00</v>
          </cell>
        </row>
        <row r="34">
          <cell r="D34" t="str">
            <v>0,00</v>
          </cell>
          <cell r="L34" t="str">
            <v>23.950,33</v>
          </cell>
        </row>
        <row r="35">
          <cell r="D35" t="str">
            <v>0,00</v>
          </cell>
          <cell r="L35" t="str">
            <v>0,00</v>
          </cell>
        </row>
        <row r="36">
          <cell r="D36" t="str">
            <v>0,00</v>
          </cell>
          <cell r="L36" t="str">
            <v>0,00</v>
          </cell>
        </row>
        <row r="37">
          <cell r="D37" t="str">
            <v>0,00</v>
          </cell>
        </row>
        <row r="40">
          <cell r="D40" t="str">
            <v>0,00</v>
          </cell>
        </row>
        <row r="41">
          <cell r="D41" t="str">
            <v>0,00</v>
          </cell>
        </row>
      </sheetData>
      <sheetData sheetId="3">
        <row r="6">
          <cell r="D6">
            <v>29</v>
          </cell>
        </row>
        <row r="10">
          <cell r="H10">
            <v>32809250.778310675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47.125.032,57</v>
          </cell>
        </row>
        <row r="4">
          <cell r="D4" t="str">
            <v>71.664.832,71</v>
          </cell>
          <cell r="L4" t="str">
            <v>47.293.402,09</v>
          </cell>
        </row>
        <row r="5">
          <cell r="D5" t="str">
            <v>2.311,61</v>
          </cell>
          <cell r="L5" t="str">
            <v>0,00</v>
          </cell>
        </row>
        <row r="6">
          <cell r="D6" t="str">
            <v>206.491,00</v>
          </cell>
          <cell r="L6" t="str">
            <v>0,00</v>
          </cell>
        </row>
        <row r="7">
          <cell r="L7" t="str">
            <v>149.641,90</v>
          </cell>
        </row>
        <row r="14">
          <cell r="L14" t="str">
            <v>0,00</v>
          </cell>
        </row>
        <row r="17">
          <cell r="D17" t="str">
            <v>555.652,61</v>
          </cell>
          <cell r="L17" t="str">
            <v>-986.036,37</v>
          </cell>
        </row>
        <row r="18">
          <cell r="L18" t="str">
            <v>668.024,95</v>
          </cell>
        </row>
        <row r="19">
          <cell r="L19" t="str">
            <v>0,00</v>
          </cell>
        </row>
        <row r="20">
          <cell r="L20" t="str">
            <v>0,00</v>
          </cell>
        </row>
        <row r="21">
          <cell r="L21" t="str">
            <v>772.446,73</v>
          </cell>
        </row>
        <row r="25">
          <cell r="D25" t="str">
            <v>70.900.377,50</v>
          </cell>
        </row>
        <row r="26">
          <cell r="L26" t="str">
            <v>0,00</v>
          </cell>
        </row>
        <row r="31">
          <cell r="L31" t="str">
            <v>3.155.313,55</v>
          </cell>
        </row>
        <row r="32">
          <cell r="L32" t="str">
            <v>0,00</v>
          </cell>
        </row>
        <row r="35">
          <cell r="D35" t="str">
            <v>0,00</v>
          </cell>
        </row>
        <row r="36">
          <cell r="D36" t="str">
            <v>0,00</v>
          </cell>
          <cell r="L36" t="str">
            <v>0,00</v>
          </cell>
        </row>
        <row r="37">
          <cell r="D37" t="str">
            <v>0,00</v>
          </cell>
        </row>
        <row r="38">
          <cell r="D38" t="str">
            <v>9.623.570,86</v>
          </cell>
        </row>
        <row r="39">
          <cell r="D39" t="str">
            <v>0,00</v>
          </cell>
          <cell r="L39" t="str">
            <v>0,00</v>
          </cell>
        </row>
        <row r="40">
          <cell r="D40" t="str">
            <v>0,00</v>
          </cell>
        </row>
        <row r="42">
          <cell r="L42" t="str">
            <v>0,00</v>
          </cell>
        </row>
        <row r="47">
          <cell r="L47" t="str">
            <v>3.155.313,55</v>
          </cell>
        </row>
        <row r="48">
          <cell r="D48" t="str">
            <v>-148.123,94</v>
          </cell>
        </row>
        <row r="51">
          <cell r="L51" t="str">
            <v>0,00</v>
          </cell>
        </row>
        <row r="52">
          <cell r="L52" t="str">
            <v>30.235.610,73</v>
          </cell>
        </row>
        <row r="53">
          <cell r="L53" t="str">
            <v>0,00</v>
          </cell>
        </row>
        <row r="56">
          <cell r="D56" t="str">
            <v>9.460.276,96</v>
          </cell>
        </row>
        <row r="58">
          <cell r="L58" t="str">
            <v>27.317.299,79</v>
          </cell>
        </row>
        <row r="62">
          <cell r="L62" t="str">
            <v>0,00</v>
          </cell>
        </row>
        <row r="65">
          <cell r="D65" t="str">
            <v>0,00</v>
          </cell>
          <cell r="L65" t="str">
            <v>2.771.011,26</v>
          </cell>
        </row>
        <row r="66">
          <cell r="D66" t="str">
            <v>304.868,11</v>
          </cell>
        </row>
        <row r="67">
          <cell r="D67" t="str">
            <v>6.549,73</v>
          </cell>
        </row>
        <row r="69">
          <cell r="L69" t="str">
            <v>125.371,29</v>
          </cell>
        </row>
        <row r="75">
          <cell r="L75" t="str">
            <v>0,00</v>
          </cell>
        </row>
        <row r="76">
          <cell r="L76" t="str">
            <v>21.928,38</v>
          </cell>
        </row>
        <row r="77">
          <cell r="L77" t="str">
            <v>0,00</v>
          </cell>
        </row>
      </sheetData>
      <sheetData sheetId="2">
        <row r="4">
          <cell r="D4" t="str">
            <v>0,00</v>
          </cell>
          <cell r="L4" t="str">
            <v>5.631.060,67</v>
          </cell>
        </row>
        <row r="5">
          <cell r="D5" t="str">
            <v>2.335.689,46</v>
          </cell>
        </row>
        <row r="9">
          <cell r="L9" t="str">
            <v>0,00</v>
          </cell>
        </row>
        <row r="10">
          <cell r="L10" t="str">
            <v>0,00</v>
          </cell>
        </row>
        <row r="11">
          <cell r="D11" t="str">
            <v>1.361.358,61</v>
          </cell>
          <cell r="L11" t="str">
            <v>7.781.418,50</v>
          </cell>
        </row>
        <row r="12">
          <cell r="D12" t="str">
            <v>403.915,19</v>
          </cell>
        </row>
        <row r="13">
          <cell r="D13" t="str">
            <v>158.788,54</v>
          </cell>
        </row>
        <row r="14">
          <cell r="D14" t="str">
            <v>656.161,52</v>
          </cell>
        </row>
        <row r="16">
          <cell r="L16" t="str">
            <v>0,00</v>
          </cell>
        </row>
        <row r="18">
          <cell r="D18" t="str">
            <v>7.876.159,89</v>
          </cell>
        </row>
        <row r="20">
          <cell r="L20" t="str">
            <v>0,00</v>
          </cell>
        </row>
        <row r="24">
          <cell r="D24" t="str">
            <v>0,00</v>
          </cell>
          <cell r="L24" t="str">
            <v>76.930,60</v>
          </cell>
        </row>
        <row r="29">
          <cell r="D29" t="str">
            <v>1.996.711,17</v>
          </cell>
          <cell r="L29" t="str">
            <v>10,45</v>
          </cell>
        </row>
        <row r="30">
          <cell r="D30" t="str">
            <v>0,00</v>
          </cell>
        </row>
        <row r="32">
          <cell r="L32" t="str">
            <v>0,00</v>
          </cell>
        </row>
        <row r="33">
          <cell r="D33" t="str">
            <v>149.630,82</v>
          </cell>
          <cell r="L33" t="str">
            <v>0,00</v>
          </cell>
        </row>
        <row r="34">
          <cell r="D34" t="str">
            <v>0,00</v>
          </cell>
          <cell r="L34" t="str">
            <v>220.895,20</v>
          </cell>
        </row>
        <row r="35">
          <cell r="D35" t="str">
            <v>0,00</v>
          </cell>
          <cell r="L35" t="str">
            <v>333.548,44</v>
          </cell>
        </row>
        <row r="36">
          <cell r="D36" t="str">
            <v>91.485,03</v>
          </cell>
          <cell r="L36" t="str">
            <v>1.163.956,41</v>
          </cell>
        </row>
        <row r="37">
          <cell r="D37" t="str">
            <v>1.163.956,41</v>
          </cell>
        </row>
        <row r="40">
          <cell r="D40" t="str">
            <v>0,00</v>
          </cell>
        </row>
        <row r="41">
          <cell r="D41" t="str">
            <v>0,00</v>
          </cell>
        </row>
      </sheetData>
      <sheetData sheetId="3">
        <row r="6">
          <cell r="D6">
            <v>52</v>
          </cell>
        </row>
        <row r="10">
          <cell r="H1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1.202.024,21</v>
          </cell>
          <cell r="L3" t="str">
            <v>14.090.722,78</v>
          </cell>
        </row>
        <row r="4">
          <cell r="D4" t="str">
            <v>14.108.723,09</v>
          </cell>
          <cell r="L4" t="str">
            <v>11.996.201,60</v>
          </cell>
        </row>
        <row r="5">
          <cell r="D5" t="str">
            <v>54.914,48</v>
          </cell>
          <cell r="L5" t="str">
            <v>0,00</v>
          </cell>
        </row>
        <row r="6">
          <cell r="D6" t="str">
            <v>118.892,21</v>
          </cell>
          <cell r="L6" t="str">
            <v>0,00</v>
          </cell>
        </row>
        <row r="7">
          <cell r="L7" t="str">
            <v>2.692.876,80</v>
          </cell>
        </row>
        <row r="14">
          <cell r="L14" t="str">
            <v>-632.048,37</v>
          </cell>
        </row>
        <row r="17">
          <cell r="D17" t="str">
            <v>13.585.944,73</v>
          </cell>
          <cell r="L17" t="str">
            <v>33.692,74</v>
          </cell>
        </row>
        <row r="18">
          <cell r="L18" t="str">
            <v>0,00</v>
          </cell>
        </row>
        <row r="19">
          <cell r="L19" t="str">
            <v>0,00</v>
          </cell>
        </row>
        <row r="20">
          <cell r="L20" t="str">
            <v>0,00</v>
          </cell>
        </row>
        <row r="21">
          <cell r="L21" t="str">
            <v>632.679,43</v>
          </cell>
        </row>
        <row r="25">
          <cell r="D25" t="str">
            <v>348.971,67</v>
          </cell>
        </row>
        <row r="26">
          <cell r="L26" t="str">
            <v>1.326.415,68</v>
          </cell>
        </row>
        <row r="31">
          <cell r="L31" t="str">
            <v>7.617.047,11</v>
          </cell>
        </row>
        <row r="32">
          <cell r="L32" t="str">
            <v>0,00</v>
          </cell>
        </row>
        <row r="35">
          <cell r="D35" t="str">
            <v>0,00</v>
          </cell>
        </row>
        <row r="36">
          <cell r="D36" t="str">
            <v>0,00</v>
          </cell>
          <cell r="L36" t="str">
            <v>7.617.047,11</v>
          </cell>
        </row>
        <row r="37">
          <cell r="D37" t="str">
            <v>0,00</v>
          </cell>
        </row>
        <row r="38">
          <cell r="D38" t="str">
            <v>23.577.680,81</v>
          </cell>
        </row>
        <row r="39">
          <cell r="D39" t="str">
            <v>1.502.530,26</v>
          </cell>
          <cell r="L39" t="str">
            <v>0,00</v>
          </cell>
        </row>
        <row r="40">
          <cell r="D40" t="str">
            <v>15.027.682,62</v>
          </cell>
        </row>
        <row r="42">
          <cell r="L42" t="str">
            <v>0,00</v>
          </cell>
        </row>
        <row r="47">
          <cell r="L47" t="str">
            <v>0,00</v>
          </cell>
        </row>
        <row r="48">
          <cell r="D48" t="str">
            <v>3.208.845,70</v>
          </cell>
        </row>
        <row r="51">
          <cell r="L51" t="str">
            <v>0,00</v>
          </cell>
        </row>
        <row r="52">
          <cell r="L52" t="str">
            <v>15.221.563,11</v>
          </cell>
        </row>
        <row r="53">
          <cell r="L53" t="str">
            <v>0,00</v>
          </cell>
        </row>
        <row r="56">
          <cell r="D56" t="str">
            <v>2.463.987,35</v>
          </cell>
        </row>
        <row r="58">
          <cell r="L58" t="str">
            <v>4.784.873,73</v>
          </cell>
        </row>
        <row r="62">
          <cell r="L62" t="str">
            <v>1.839.397,55</v>
          </cell>
        </row>
        <row r="65">
          <cell r="D65" t="str">
            <v>0,00</v>
          </cell>
          <cell r="L65" t="str">
            <v>6.978.087,10</v>
          </cell>
        </row>
        <row r="66">
          <cell r="D66" t="str">
            <v>1.362.236,01</v>
          </cell>
        </row>
        <row r="67">
          <cell r="D67" t="str">
            <v>12.398,88</v>
          </cell>
        </row>
        <row r="69">
          <cell r="L69" t="str">
            <v>1.619.204,74</v>
          </cell>
        </row>
        <row r="75">
          <cell r="L75" t="str">
            <v>0,00</v>
          </cell>
        </row>
        <row r="76">
          <cell r="L76" t="str">
            <v>0,00</v>
          </cell>
        </row>
        <row r="77">
          <cell r="L77" t="str">
            <v>0,00</v>
          </cell>
        </row>
      </sheetData>
      <sheetData sheetId="2">
        <row r="4">
          <cell r="D4" t="str">
            <v>0,00</v>
          </cell>
          <cell r="L4" t="str">
            <v>16.685.316,07</v>
          </cell>
        </row>
        <row r="5">
          <cell r="D5" t="str">
            <v>11.031.330,76</v>
          </cell>
        </row>
        <row r="9">
          <cell r="L9" t="str">
            <v>7.547.371,77</v>
          </cell>
        </row>
        <row r="10">
          <cell r="L10" t="str">
            <v>0,00</v>
          </cell>
        </row>
        <row r="11">
          <cell r="D11" t="str">
            <v>6.480.316,85</v>
          </cell>
          <cell r="L11" t="str">
            <v>389.173,37</v>
          </cell>
        </row>
        <row r="12">
          <cell r="D12" t="str">
            <v>2.057.516,86</v>
          </cell>
        </row>
        <row r="13">
          <cell r="D13" t="str">
            <v>1.131.483,42</v>
          </cell>
        </row>
        <row r="14">
          <cell r="D14" t="str">
            <v>704.193,86</v>
          </cell>
        </row>
        <row r="16">
          <cell r="L16" t="str">
            <v>0,00</v>
          </cell>
        </row>
        <row r="18">
          <cell r="D18" t="str">
            <v>2.341.897,76</v>
          </cell>
        </row>
        <row r="20">
          <cell r="L20" t="str">
            <v>0,00</v>
          </cell>
        </row>
        <row r="24">
          <cell r="D24" t="str">
            <v>1.053.399,93</v>
          </cell>
          <cell r="L24" t="str">
            <v>75.084,44</v>
          </cell>
        </row>
        <row r="29">
          <cell r="D29" t="str">
            <v>0,00</v>
          </cell>
          <cell r="L29" t="str">
            <v>0,00</v>
          </cell>
        </row>
        <row r="30">
          <cell r="D30" t="str">
            <v>0,00</v>
          </cell>
        </row>
        <row r="32">
          <cell r="L32" t="str">
            <v>4.459,51</v>
          </cell>
        </row>
        <row r="33">
          <cell r="D33" t="str">
            <v>0,00</v>
          </cell>
          <cell r="L33" t="str">
            <v>0,00</v>
          </cell>
        </row>
        <row r="34">
          <cell r="D34" t="str">
            <v>7.686,94</v>
          </cell>
          <cell r="L34" t="str">
            <v>47.612,18</v>
          </cell>
        </row>
        <row r="35">
          <cell r="D35" t="str">
            <v>0,00</v>
          </cell>
          <cell r="L35" t="str">
            <v>18.979,96</v>
          </cell>
        </row>
        <row r="36">
          <cell r="D36" t="str">
            <v>10.139,07</v>
          </cell>
          <cell r="L36" t="str">
            <v>218.894,62</v>
          </cell>
        </row>
        <row r="37">
          <cell r="D37" t="str">
            <v>117.095,19</v>
          </cell>
        </row>
        <row r="40">
          <cell r="D40" t="str">
            <v>18.138,55</v>
          </cell>
        </row>
        <row r="41">
          <cell r="D41" t="str">
            <v>0,00</v>
          </cell>
        </row>
      </sheetData>
      <sheetData sheetId="3">
        <row r="6">
          <cell r="D6">
            <v>361</v>
          </cell>
        </row>
        <row r="10">
          <cell r="H10">
            <v>7704975.178200089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19.890.911,20</v>
          </cell>
        </row>
        <row r="4">
          <cell r="D4" t="str">
            <v>2.314.741,05</v>
          </cell>
          <cell r="L4" t="str">
            <v>20.431.887,30</v>
          </cell>
        </row>
        <row r="5">
          <cell r="D5" t="str">
            <v>471.888,73</v>
          </cell>
          <cell r="L5" t="str">
            <v>0,00</v>
          </cell>
        </row>
        <row r="6">
          <cell r="D6" t="str">
            <v>223.635,05</v>
          </cell>
          <cell r="L6" t="str">
            <v>0,00</v>
          </cell>
        </row>
        <row r="7">
          <cell r="L7" t="str">
            <v>0,00</v>
          </cell>
        </row>
        <row r="14">
          <cell r="L14" t="str">
            <v>-602.763,86</v>
          </cell>
        </row>
        <row r="17">
          <cell r="D17" t="str">
            <v>1.437.698,58</v>
          </cell>
          <cell r="L17" t="str">
            <v>61.787,76</v>
          </cell>
        </row>
        <row r="18">
          <cell r="L18" t="str">
            <v>0,00</v>
          </cell>
        </row>
        <row r="19">
          <cell r="L19" t="str">
            <v>0,00</v>
          </cell>
        </row>
        <row r="20">
          <cell r="L20" t="str">
            <v>0,00</v>
          </cell>
        </row>
        <row r="21">
          <cell r="L21" t="str">
            <v>306.847,34</v>
          </cell>
        </row>
        <row r="25">
          <cell r="D25" t="str">
            <v>181.518,69</v>
          </cell>
        </row>
        <row r="26">
          <cell r="L26" t="str">
            <v>0,00</v>
          </cell>
        </row>
        <row r="31">
          <cell r="L31" t="str">
            <v>0,00</v>
          </cell>
        </row>
        <row r="32">
          <cell r="L32" t="str">
            <v>0,00</v>
          </cell>
        </row>
        <row r="35">
          <cell r="D35" t="str">
            <v>0,00</v>
          </cell>
        </row>
        <row r="36">
          <cell r="D36" t="str">
            <v>0,00</v>
          </cell>
          <cell r="L36" t="str">
            <v>0,00</v>
          </cell>
        </row>
        <row r="37">
          <cell r="D37" t="str">
            <v>5.398,97</v>
          </cell>
        </row>
        <row r="38">
          <cell r="D38" t="str">
            <v>20.652.242,60</v>
          </cell>
        </row>
        <row r="39">
          <cell r="D39" t="str">
            <v>5.707.210,94</v>
          </cell>
          <cell r="L39" t="str">
            <v>0,00</v>
          </cell>
        </row>
        <row r="40">
          <cell r="D40" t="str">
            <v>838.230,99</v>
          </cell>
        </row>
        <row r="42">
          <cell r="L42" t="str">
            <v>0,00</v>
          </cell>
        </row>
        <row r="47">
          <cell r="L47" t="str">
            <v>0,00</v>
          </cell>
        </row>
        <row r="48">
          <cell r="D48" t="str">
            <v>7.212.141,74</v>
          </cell>
        </row>
        <row r="51">
          <cell r="L51" t="str">
            <v>0,00</v>
          </cell>
        </row>
        <row r="52">
          <cell r="L52" t="str">
            <v>2.774.624,08</v>
          </cell>
        </row>
        <row r="53">
          <cell r="L53" t="str">
            <v>0,00</v>
          </cell>
        </row>
        <row r="56">
          <cell r="D56" t="str">
            <v>6.372.059,47</v>
          </cell>
        </row>
        <row r="58">
          <cell r="L58" t="str">
            <v>0,00</v>
          </cell>
        </row>
        <row r="62">
          <cell r="L62" t="str">
            <v>0,00</v>
          </cell>
        </row>
        <row r="65">
          <cell r="D65" t="str">
            <v>0,00</v>
          </cell>
          <cell r="L65" t="str">
            <v>2.163.061,79</v>
          </cell>
        </row>
        <row r="66">
          <cell r="D66" t="str">
            <v>510.549,82</v>
          </cell>
        </row>
        <row r="67">
          <cell r="D67" t="str">
            <v>12.049,63</v>
          </cell>
        </row>
        <row r="69">
          <cell r="L69" t="str">
            <v>611.562,29</v>
          </cell>
        </row>
        <row r="75">
          <cell r="L75" t="str">
            <v>0,00</v>
          </cell>
        </row>
        <row r="76">
          <cell r="L76" t="str">
            <v>0,00</v>
          </cell>
        </row>
        <row r="77">
          <cell r="L77" t="str">
            <v>0,00</v>
          </cell>
        </row>
      </sheetData>
      <sheetData sheetId="2">
        <row r="4">
          <cell r="D4" t="str">
            <v>0,00</v>
          </cell>
          <cell r="L4" t="str">
            <v>8.129.326,90</v>
          </cell>
        </row>
        <row r="5">
          <cell r="D5" t="str">
            <v>1.802.772,62</v>
          </cell>
        </row>
        <row r="9">
          <cell r="L9" t="str">
            <v>0,00</v>
          </cell>
        </row>
        <row r="10">
          <cell r="L10" t="str">
            <v>0,00</v>
          </cell>
        </row>
        <row r="11">
          <cell r="D11" t="str">
            <v>4.167.624,36</v>
          </cell>
          <cell r="L11" t="str">
            <v>0,00</v>
          </cell>
        </row>
        <row r="12">
          <cell r="D12" t="str">
            <v>972.159,72</v>
          </cell>
        </row>
        <row r="13">
          <cell r="D13" t="str">
            <v>246.955,96</v>
          </cell>
        </row>
        <row r="14">
          <cell r="D14" t="str">
            <v>180.199,96</v>
          </cell>
        </row>
        <row r="16">
          <cell r="L16" t="str">
            <v>0,00</v>
          </cell>
        </row>
        <row r="18">
          <cell r="D18" t="str">
            <v>1.447.894,53</v>
          </cell>
        </row>
        <row r="20">
          <cell r="L20" t="str">
            <v>0,00</v>
          </cell>
        </row>
        <row r="24">
          <cell r="D24" t="str">
            <v>15.705,29</v>
          </cell>
          <cell r="L24" t="str">
            <v>744.217,77</v>
          </cell>
        </row>
        <row r="29">
          <cell r="D29" t="str">
            <v>0,00</v>
          </cell>
          <cell r="L29" t="str">
            <v>0,00</v>
          </cell>
        </row>
        <row r="30">
          <cell r="D30" t="str">
            <v>0,00</v>
          </cell>
        </row>
        <row r="32">
          <cell r="L32" t="str">
            <v>0,00</v>
          </cell>
        </row>
        <row r="33">
          <cell r="D33" t="str">
            <v>0,00</v>
          </cell>
          <cell r="L33" t="str">
            <v>0,00</v>
          </cell>
        </row>
        <row r="34">
          <cell r="D34" t="str">
            <v>0,00</v>
          </cell>
          <cell r="L34" t="str">
            <v>24.317,35</v>
          </cell>
        </row>
        <row r="35">
          <cell r="D35" t="str">
            <v>0,00</v>
          </cell>
          <cell r="L35" t="str">
            <v>0,00</v>
          </cell>
        </row>
        <row r="36">
          <cell r="D36" t="str">
            <v>0,00</v>
          </cell>
          <cell r="L36" t="str">
            <v>5.787,81</v>
          </cell>
        </row>
        <row r="37">
          <cell r="D37" t="str">
            <v>5.343,88</v>
          </cell>
        </row>
        <row r="40">
          <cell r="D40" t="str">
            <v>3.205,74</v>
          </cell>
        </row>
        <row r="41">
          <cell r="D41" t="str">
            <v>0,00</v>
          </cell>
        </row>
      </sheetData>
      <sheetData sheetId="3">
        <row r="6">
          <cell r="D6">
            <v>35</v>
          </cell>
        </row>
        <row r="10">
          <cell r="H10">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cols>
    <col min="1" max="16384" width="11.421875" style="114" customWidth="1"/>
  </cols>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57"/>
  <sheetViews>
    <sheetView tabSelected="1" zoomScale="75" zoomScaleNormal="75" workbookViewId="0" topLeftCell="A1"/>
  </sheetViews>
  <sheetFormatPr defaultColWidth="11.421875" defaultRowHeight="12.75"/>
  <cols>
    <col min="1" max="1" width="63.7109375" style="3" customWidth="1"/>
    <col min="2" max="2" width="86.7109375" style="91" customWidth="1"/>
    <col min="3" max="16384" width="11.421875" style="3" customWidth="1"/>
  </cols>
  <sheetData>
    <row r="1" spans="1:207" ht="60" customHeight="1">
      <c r="A1" s="8"/>
      <c r="B1" s="10" t="str">
        <f>"EJERCICIO    "&amp;Balance!AF1</f>
        <v>EJERCICIO    1995</v>
      </c>
      <c r="C1" s="12"/>
      <c r="D1" s="12"/>
      <c r="E1" s="12"/>
      <c r="F1" s="12"/>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row>
    <row r="2" spans="1:207" ht="12.95" customHeight="1" thickBot="1">
      <c r="A2" s="8"/>
      <c r="B2" s="9"/>
      <c r="C2" s="12"/>
      <c r="D2" s="12"/>
      <c r="E2" s="12"/>
      <c r="F2" s="12"/>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row>
    <row r="3" spans="1:207" ht="33" customHeight="1">
      <c r="A3" s="76" t="str">
        <f>"                                            "&amp;"SECTOR INSTRUMENTAL"</f>
        <v xml:space="preserve">                                            SECTOR INSTRUMENTAL</v>
      </c>
      <c r="B3" s="13"/>
      <c r="C3" s="12"/>
      <c r="D3" s="12"/>
      <c r="E3" s="12"/>
      <c r="F3" s="12"/>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row>
    <row r="4" spans="1:207" ht="20.1" customHeight="1">
      <c r="A4" s="17" t="str">
        <f>"AGREGADO"</f>
        <v>AGREGADO</v>
      </c>
      <c r="B4" s="79"/>
      <c r="C4" s="12"/>
      <c r="D4" s="12"/>
      <c r="E4" s="12"/>
      <c r="F4" s="12"/>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5" customHeight="1" thickBot="1">
      <c r="A5" s="21"/>
      <c r="B5" s="49"/>
      <c r="C5" s="12"/>
      <c r="D5" s="12"/>
      <c r="E5" s="12"/>
      <c r="F5" s="12"/>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3"/>
      <c r="B6" s="24"/>
      <c r="C6" s="12"/>
      <c r="D6" s="12"/>
      <c r="E6" s="12"/>
      <c r="F6" s="12"/>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95" customHeight="1" thickBot="1">
      <c r="A7" s="23"/>
      <c r="B7" s="24"/>
      <c r="C7" s="24"/>
      <c r="D7" s="24"/>
      <c r="E7" s="24"/>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0" t="s">
        <v>55</v>
      </c>
      <c r="B8" s="81"/>
      <c r="C8" s="24"/>
      <c r="D8" s="24"/>
      <c r="E8" s="24"/>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95" customHeight="1">
      <c r="A9" s="24"/>
      <c r="B9" s="24"/>
      <c r="C9" s="24"/>
      <c r="D9" s="24"/>
      <c r="E9" s="24"/>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56</v>
      </c>
      <c r="B10" s="82" t="s">
        <v>188</v>
      </c>
    </row>
    <row r="11" spans="1:2" ht="18" customHeight="1">
      <c r="A11" s="1" t="s">
        <v>57</v>
      </c>
      <c r="B11" s="82" t="s">
        <v>195</v>
      </c>
    </row>
    <row r="12" spans="1:2" ht="18" customHeight="1">
      <c r="A12" s="1" t="s">
        <v>69</v>
      </c>
      <c r="B12" s="82" t="s">
        <v>193</v>
      </c>
    </row>
    <row r="13" spans="1:2" ht="18" customHeight="1">
      <c r="A13" s="1"/>
      <c r="B13" s="82"/>
    </row>
    <row r="14" spans="1:2" ht="18" customHeight="1">
      <c r="A14" s="1" t="s">
        <v>74</v>
      </c>
      <c r="B14" s="107">
        <f>COUNTA('Entidades agregadas'!A11:A37)+COUNTA('Entidades agregadas'!C11:C14)-1</f>
        <v>27</v>
      </c>
    </row>
    <row r="15" spans="1:2" ht="18" customHeight="1">
      <c r="A15" s="1" t="s">
        <v>77</v>
      </c>
      <c r="B15" s="107">
        <f>COUNTA('Entidades no agregadas'!A11:A17)+COUNTA('Entidades no agregadas'!C11:C20)</f>
        <v>1</v>
      </c>
    </row>
    <row r="16" spans="1:2" ht="12.95" customHeight="1" thickBot="1">
      <c r="A16" s="83"/>
      <c r="B16" s="84"/>
    </row>
    <row r="17" spans="1:2" ht="12.95" customHeight="1">
      <c r="A17" s="1"/>
      <c r="B17" s="85"/>
    </row>
    <row r="18" spans="1:2" ht="12.95" customHeight="1">
      <c r="A18" s="1"/>
      <c r="B18" s="85"/>
    </row>
    <row r="19" spans="1:2" ht="12.95" customHeight="1">
      <c r="A19" s="1"/>
      <c r="B19" s="85"/>
    </row>
    <row r="20" spans="1:2" ht="12.95" customHeight="1" thickBot="1">
      <c r="A20" s="1"/>
      <c r="B20" s="85"/>
    </row>
    <row r="21" spans="1:2" ht="33" customHeight="1">
      <c r="A21" s="80" t="s">
        <v>58</v>
      </c>
      <c r="B21" s="81"/>
    </row>
    <row r="22" ht="12.95" customHeight="1">
      <c r="B22" s="3"/>
    </row>
    <row r="23" spans="1:2" ht="18" customHeight="1">
      <c r="A23" s="1" t="s">
        <v>59</v>
      </c>
      <c r="B23" s="82" t="s">
        <v>61</v>
      </c>
    </row>
    <row r="24" spans="1:2" ht="18" customHeight="1">
      <c r="A24" s="1" t="s">
        <v>60</v>
      </c>
      <c r="B24" s="82" t="s">
        <v>206</v>
      </c>
    </row>
    <row r="25" spans="1:2" ht="18" customHeight="1">
      <c r="A25" s="1"/>
      <c r="B25" s="82" t="s">
        <v>207</v>
      </c>
    </row>
    <row r="26" spans="1:2" ht="12.95" customHeight="1" thickBot="1">
      <c r="A26" s="83"/>
      <c r="B26" s="84"/>
    </row>
    <row r="27" spans="1:2" ht="12.95" customHeight="1">
      <c r="A27" s="1"/>
      <c r="B27" s="85"/>
    </row>
    <row r="28" spans="1:2" ht="12.95" customHeight="1">
      <c r="A28" s="1"/>
      <c r="B28" s="85"/>
    </row>
    <row r="29" spans="1:2" ht="12.95" customHeight="1">
      <c r="A29" s="1"/>
      <c r="B29" s="85"/>
    </row>
    <row r="30" spans="1:2" ht="12.95" customHeight="1" thickBot="1">
      <c r="A30" s="86"/>
      <c r="B30" s="87"/>
    </row>
    <row r="31" spans="1:2" ht="33" customHeight="1">
      <c r="A31" s="80" t="s">
        <v>62</v>
      </c>
      <c r="B31" s="81"/>
    </row>
    <row r="32" ht="12.95" customHeight="1">
      <c r="B32" s="3"/>
    </row>
    <row r="33" spans="1:2" ht="12.95" customHeight="1">
      <c r="A33" s="88"/>
      <c r="B33" s="132" t="s">
        <v>194</v>
      </c>
    </row>
    <row r="34" spans="1:2" ht="18" customHeight="1">
      <c r="A34" s="88"/>
      <c r="B34" s="132"/>
    </row>
    <row r="35" spans="1:2" ht="18" customHeight="1">
      <c r="A35" s="88"/>
      <c r="B35" s="132"/>
    </row>
    <row r="36" spans="1:2" ht="18" customHeight="1">
      <c r="A36" s="88"/>
      <c r="B36" s="132"/>
    </row>
    <row r="37" spans="1:2" ht="18" customHeight="1">
      <c r="A37" s="88"/>
      <c r="B37" s="132"/>
    </row>
    <row r="38" spans="1:2" ht="18" customHeight="1">
      <c r="A38" s="88"/>
      <c r="B38" s="132"/>
    </row>
    <row r="39" spans="1:2" ht="13.5" customHeight="1" thickBot="1">
      <c r="A39" s="83"/>
      <c r="B39" s="89"/>
    </row>
    <row r="40" spans="1:2" ht="12.95" customHeight="1">
      <c r="A40" s="88"/>
      <c r="B40" s="82"/>
    </row>
    <row r="41" spans="1:2" ht="12.95" customHeight="1">
      <c r="A41" s="88"/>
      <c r="B41" s="82"/>
    </row>
    <row r="42" spans="1:2" ht="12.95" customHeight="1">
      <c r="A42" s="88"/>
      <c r="B42" s="82"/>
    </row>
    <row r="43" spans="1:2" ht="12.95" customHeight="1" thickBot="1">
      <c r="A43" s="88"/>
      <c r="B43" s="87"/>
    </row>
    <row r="44" spans="1:2" ht="33" customHeight="1">
      <c r="A44" s="80" t="s">
        <v>63</v>
      </c>
      <c r="B44" s="81"/>
    </row>
    <row r="45" ht="12.95" customHeight="1">
      <c r="B45" s="3"/>
    </row>
    <row r="46" spans="1:2" ht="18" customHeight="1">
      <c r="A46" s="1"/>
      <c r="B46" s="132" t="s">
        <v>189</v>
      </c>
    </row>
    <row r="47" spans="1:2" ht="18" customHeight="1">
      <c r="A47" s="86"/>
      <c r="B47" s="132"/>
    </row>
    <row r="48" spans="1:2" ht="18" customHeight="1">
      <c r="A48" s="86"/>
      <c r="B48" s="132"/>
    </row>
    <row r="49" spans="1:2" ht="18" customHeight="1">
      <c r="A49" s="86"/>
      <c r="B49" s="132"/>
    </row>
    <row r="50" spans="1:2" ht="18" customHeight="1">
      <c r="A50" s="86"/>
      <c r="B50" s="132"/>
    </row>
    <row r="51" spans="1:2" ht="18" customHeight="1">
      <c r="A51" s="86"/>
      <c r="B51" s="132"/>
    </row>
    <row r="52" spans="1:2" ht="18" customHeight="1">
      <c r="A52" s="86"/>
      <c r="B52" s="132"/>
    </row>
    <row r="53" spans="1:2" ht="18" customHeight="1">
      <c r="A53" s="86"/>
      <c r="B53" s="132"/>
    </row>
    <row r="54" spans="1:2" ht="12.95" customHeight="1" thickBot="1">
      <c r="A54" s="90"/>
      <c r="B54" s="90"/>
    </row>
    <row r="56" ht="18" customHeight="1">
      <c r="A56" s="64" t="s">
        <v>191</v>
      </c>
    </row>
    <row r="57" spans="1:2" ht="18" customHeight="1">
      <c r="A57" s="35"/>
      <c r="B57" s="35"/>
    </row>
  </sheetData>
  <mergeCells count="2">
    <mergeCell ref="B46:B53"/>
    <mergeCell ref="B33:B38"/>
  </mergeCells>
  <printOptions horizontalCentered="1"/>
  <pageMargins left="0.31496062992125984" right="0.31496062992125984" top="0.5905511811023623" bottom="0.5905511811023623" header="0" footer="0"/>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BF119"/>
  <sheetViews>
    <sheetView zoomScale="75" zoomScaleNormal="75" workbookViewId="0" topLeftCell="A1"/>
  </sheetViews>
  <sheetFormatPr defaultColWidth="11.421875" defaultRowHeight="12.75"/>
  <cols>
    <col min="1" max="1" width="73.7109375" style="3" customWidth="1"/>
    <col min="2" max="2" width="19.140625" style="28" customWidth="1"/>
    <col min="3" max="3" width="9.7109375" style="28" customWidth="1"/>
    <col min="4" max="28" width="18.140625" style="28" hidden="1" customWidth="1"/>
    <col min="29" max="29" width="3.28125" style="3" customWidth="1"/>
    <col min="30" max="30" width="73.7109375" style="3" customWidth="1"/>
    <col min="31" max="31" width="18.00390625" style="123" customWidth="1"/>
    <col min="32" max="32" width="8.7109375" style="3" customWidth="1"/>
    <col min="33" max="57" width="25.7109375" style="3" hidden="1" customWidth="1"/>
    <col min="58" max="58" width="19.140625" style="3" bestFit="1" customWidth="1"/>
    <col min="59" max="16384" width="11.421875" style="3" customWidth="1"/>
  </cols>
  <sheetData>
    <row r="1" spans="1:32" s="2" customFormat="1" ht="60"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10" t="s">
        <v>29</v>
      </c>
      <c r="AF1" s="11">
        <v>1995</v>
      </c>
    </row>
    <row r="2" spans="1:32" s="2" customFormat="1" ht="12.95" customHeight="1" thickBot="1">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116"/>
      <c r="AF2" s="12"/>
    </row>
    <row r="3" spans="1:32" s="2" customFormat="1" ht="33" customHeight="1">
      <c r="A3" s="76" t="str">
        <f>"                                            "&amp;"SECTOR INSTRUMENTAL"</f>
        <v xml:space="preserve">                                            SECTOR INSTRUMENTAL</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4"/>
      <c r="AD3" s="14"/>
      <c r="AE3" s="15"/>
      <c r="AF3" s="16"/>
    </row>
    <row r="4" spans="1:57" s="2" customFormat="1" ht="20.1" customHeight="1">
      <c r="A4" s="17" t="str">
        <f>"AGREGADO"</f>
        <v>AGREGADO</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7"/>
      <c r="AD4" s="17"/>
      <c r="AE4" s="19"/>
      <c r="AF4" s="20"/>
      <c r="AM4" s="125"/>
      <c r="AN4" s="46"/>
      <c r="AO4" s="46"/>
      <c r="AP4" s="46"/>
      <c r="AQ4" s="46"/>
      <c r="AR4" s="46"/>
      <c r="AS4" s="46"/>
      <c r="AT4" s="46"/>
      <c r="AU4" s="46"/>
      <c r="AV4" s="46"/>
      <c r="AW4" s="46"/>
      <c r="AX4" s="46"/>
      <c r="AY4" s="46"/>
      <c r="AZ4" s="46"/>
      <c r="BA4" s="46"/>
      <c r="BB4" s="46"/>
      <c r="BC4" s="46"/>
      <c r="BD4" s="46"/>
      <c r="BE4" s="46"/>
    </row>
    <row r="5" spans="1:57" s="2" customFormat="1" ht="18" customHeight="1" thickBot="1">
      <c r="A5" s="2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77" t="str">
        <f>"Población a 01/01/"&amp;AF1</f>
        <v>Población a 01/01/1995</v>
      </c>
      <c r="AE5" s="133">
        <v>3969401</v>
      </c>
      <c r="AF5" s="133"/>
      <c r="AH5" s="112"/>
      <c r="AM5" s="126"/>
      <c r="AN5" s="46"/>
      <c r="AO5" s="46"/>
      <c r="AP5" s="46"/>
      <c r="AQ5" s="46"/>
      <c r="AR5" s="46"/>
      <c r="AS5" s="46"/>
      <c r="AT5" s="129"/>
      <c r="AU5" s="46"/>
      <c r="AV5" s="46"/>
      <c r="AW5" s="46"/>
      <c r="AX5" s="46"/>
      <c r="AY5" s="46"/>
      <c r="AZ5" s="46"/>
      <c r="BA5" s="46"/>
      <c r="BB5" s="46"/>
      <c r="BC5" s="46"/>
      <c r="BD5" s="46"/>
      <c r="BE5" s="46"/>
    </row>
    <row r="6" spans="1:57" s="2" customFormat="1" ht="15" customHeight="1">
      <c r="A6" s="23"/>
      <c r="B6" s="24"/>
      <c r="C6" s="24"/>
      <c r="D6" s="46"/>
      <c r="E6" s="46"/>
      <c r="F6" s="46"/>
      <c r="G6" s="46"/>
      <c r="H6" s="46"/>
      <c r="I6" s="46"/>
      <c r="J6" s="46"/>
      <c r="K6" s="46"/>
      <c r="L6" s="46"/>
      <c r="M6" s="46"/>
      <c r="N6" s="46"/>
      <c r="O6" s="46"/>
      <c r="P6" s="46"/>
      <c r="Q6" s="46"/>
      <c r="R6" s="46"/>
      <c r="S6" s="46"/>
      <c r="T6" s="46"/>
      <c r="U6" s="46"/>
      <c r="V6" s="46"/>
      <c r="W6" s="46"/>
      <c r="X6" s="46"/>
      <c r="Y6" s="46"/>
      <c r="Z6" s="46"/>
      <c r="AA6" s="46"/>
      <c r="AB6" s="46"/>
      <c r="AC6" s="24"/>
      <c r="AD6" s="24"/>
      <c r="AE6" s="117"/>
      <c r="AF6" s="24"/>
      <c r="AG6" s="46"/>
      <c r="AH6" s="46"/>
      <c r="AI6" s="46"/>
      <c r="AJ6" s="46"/>
      <c r="AK6" s="46"/>
      <c r="AL6" s="46"/>
      <c r="AM6" s="127"/>
      <c r="AN6" s="46"/>
      <c r="AO6" s="46"/>
      <c r="AP6" s="46"/>
      <c r="AQ6" s="46"/>
      <c r="AR6" s="46"/>
      <c r="AS6" s="46"/>
      <c r="AT6" s="46"/>
      <c r="AU6" s="46"/>
      <c r="AV6" s="46"/>
      <c r="AW6" s="46"/>
      <c r="AX6" s="46"/>
      <c r="AY6" s="46"/>
      <c r="AZ6" s="46"/>
      <c r="BA6" s="46"/>
      <c r="BB6" s="1"/>
      <c r="BC6" s="46"/>
      <c r="BD6" s="46"/>
      <c r="BE6" s="46"/>
    </row>
    <row r="7" spans="1:53" s="2" customFormat="1" ht="12.95" customHeight="1">
      <c r="A7" s="23"/>
      <c r="B7" s="24"/>
      <c r="C7" s="24"/>
      <c r="D7" s="46"/>
      <c r="E7" s="46"/>
      <c r="F7" s="46"/>
      <c r="G7" s="46"/>
      <c r="H7" s="46"/>
      <c r="I7" s="46"/>
      <c r="J7" s="46"/>
      <c r="K7" s="46"/>
      <c r="L7" s="46"/>
      <c r="M7" s="46"/>
      <c r="N7" s="46"/>
      <c r="O7" s="46"/>
      <c r="P7" s="46"/>
      <c r="Q7" s="46"/>
      <c r="R7" s="46"/>
      <c r="S7" s="46"/>
      <c r="T7" s="46"/>
      <c r="U7" s="46"/>
      <c r="V7" s="46"/>
      <c r="W7" s="46"/>
      <c r="X7" s="46"/>
      <c r="Y7" s="24"/>
      <c r="Z7" s="24"/>
      <c r="AA7" s="24"/>
      <c r="AB7" s="24"/>
      <c r="AC7" s="46"/>
      <c r="AD7" s="46"/>
      <c r="AE7" s="46"/>
      <c r="AF7" s="46"/>
      <c r="AG7" s="46"/>
      <c r="AH7" s="46"/>
      <c r="AI7" s="46"/>
      <c r="AJ7" s="46"/>
      <c r="AK7" s="46"/>
      <c r="AL7" s="46"/>
      <c r="AM7" s="46"/>
      <c r="AN7" s="46"/>
      <c r="AO7" s="46"/>
      <c r="AP7" s="46"/>
      <c r="AQ7" s="46"/>
      <c r="AR7" s="46"/>
      <c r="AS7" s="46"/>
      <c r="AT7" s="46"/>
      <c r="AU7" s="46"/>
      <c r="AV7" s="46"/>
      <c r="AW7" s="46"/>
      <c r="AX7" s="46"/>
      <c r="AY7" s="46"/>
      <c r="AZ7" s="46"/>
      <c r="BA7" s="46"/>
    </row>
    <row r="8" spans="1:57" s="2" customFormat="1" ht="21" customHeight="1">
      <c r="A8" s="25" t="s">
        <v>34</v>
      </c>
      <c r="B8" s="24"/>
      <c r="C8" s="24"/>
      <c r="D8" s="1"/>
      <c r="E8" s="1"/>
      <c r="F8" s="1"/>
      <c r="G8" s="1"/>
      <c r="H8" s="1"/>
      <c r="I8" s="1"/>
      <c r="J8" s="1"/>
      <c r="K8" s="1"/>
      <c r="L8" s="1"/>
      <c r="M8" s="1"/>
      <c r="N8" s="1"/>
      <c r="O8" s="1"/>
      <c r="P8" s="1"/>
      <c r="Q8" s="1"/>
      <c r="R8" s="1"/>
      <c r="S8" s="1"/>
      <c r="T8" s="1"/>
      <c r="U8" s="1"/>
      <c r="V8" s="1"/>
      <c r="W8" s="1"/>
      <c r="X8" s="1"/>
      <c r="Y8" s="1"/>
      <c r="Z8" s="1"/>
      <c r="AA8" s="1"/>
      <c r="AB8" s="1"/>
      <c r="AC8" s="24"/>
      <c r="AD8" s="24"/>
      <c r="AE8" s="117"/>
      <c r="AF8" s="24"/>
      <c r="AG8" s="113"/>
      <c r="AH8" s="113"/>
      <c r="AI8" s="113"/>
      <c r="AJ8" s="113"/>
      <c r="AK8" s="113"/>
      <c r="AL8" s="113"/>
      <c r="AM8" s="46"/>
      <c r="AN8" s="46"/>
      <c r="AO8" s="46"/>
      <c r="AP8" s="46"/>
      <c r="AQ8" s="46"/>
      <c r="AR8" s="46"/>
      <c r="AS8" s="46"/>
      <c r="AT8" s="46"/>
      <c r="AU8" s="46"/>
      <c r="AV8" s="46"/>
      <c r="AW8" s="46"/>
      <c r="AX8" s="46"/>
      <c r="AY8" s="46"/>
      <c r="AZ8" s="46"/>
      <c r="BA8" s="46"/>
      <c r="BB8" s="46"/>
      <c r="BC8" s="46"/>
      <c r="BD8" s="46"/>
      <c r="BE8" s="46"/>
    </row>
    <row r="9" spans="1:38" s="2" customFormat="1" ht="18" customHeight="1">
      <c r="A9" s="26"/>
      <c r="B9" s="24"/>
      <c r="C9" s="24"/>
      <c r="D9" s="24"/>
      <c r="E9" s="24"/>
      <c r="F9" s="24"/>
      <c r="G9" s="24"/>
      <c r="H9" s="24"/>
      <c r="I9" s="24"/>
      <c r="J9" s="24"/>
      <c r="K9" s="24"/>
      <c r="L9" s="24"/>
      <c r="M9" s="24"/>
      <c r="N9" s="24"/>
      <c r="O9" s="24"/>
      <c r="P9" s="24"/>
      <c r="Q9" s="128"/>
      <c r="R9" s="24"/>
      <c r="S9" s="1"/>
      <c r="T9" s="24"/>
      <c r="U9" s="24"/>
      <c r="V9" s="24"/>
      <c r="W9" s="24"/>
      <c r="X9" s="24"/>
      <c r="Y9" s="24"/>
      <c r="Z9" s="24"/>
      <c r="AA9" s="24"/>
      <c r="AB9" s="24"/>
      <c r="AC9" s="24"/>
      <c r="AD9" s="24"/>
      <c r="AE9" s="117"/>
      <c r="AF9" s="24"/>
      <c r="AG9" s="47"/>
      <c r="AH9" s="47"/>
      <c r="AI9" s="47"/>
      <c r="AJ9" s="47"/>
      <c r="AK9" s="47"/>
      <c r="AL9" s="47"/>
    </row>
    <row r="10" spans="1:58" s="2" customFormat="1" ht="12.95" customHeight="1">
      <c r="A10" s="25"/>
      <c r="B10" s="24"/>
      <c r="C10" s="24"/>
      <c r="D10" s="46">
        <v>21400</v>
      </c>
      <c r="E10" s="46">
        <v>21401</v>
      </c>
      <c r="F10" s="46">
        <v>21500</v>
      </c>
      <c r="G10" s="46">
        <v>21501</v>
      </c>
      <c r="H10" s="46">
        <v>21502</v>
      </c>
      <c r="I10" s="46">
        <v>21503</v>
      </c>
      <c r="J10" s="125">
        <v>22100</v>
      </c>
      <c r="K10" s="46">
        <v>22102</v>
      </c>
      <c r="L10" s="46">
        <v>22103</v>
      </c>
      <c r="M10" s="46">
        <v>22104</v>
      </c>
      <c r="N10" s="46">
        <v>22105</v>
      </c>
      <c r="O10" s="46">
        <v>22106</v>
      </c>
      <c r="P10" s="46">
        <v>22107</v>
      </c>
      <c r="Q10" s="46">
        <v>22200</v>
      </c>
      <c r="R10" s="46">
        <v>22201</v>
      </c>
      <c r="S10" s="46">
        <v>22202</v>
      </c>
      <c r="T10" s="46">
        <v>22205</v>
      </c>
      <c r="U10" s="46">
        <v>22206</v>
      </c>
      <c r="V10" s="46">
        <v>22231</v>
      </c>
      <c r="W10" s="46">
        <v>22233</v>
      </c>
      <c r="X10" s="46">
        <v>22234</v>
      </c>
      <c r="Y10" s="46">
        <v>22235</v>
      </c>
      <c r="Z10" s="46">
        <v>22236</v>
      </c>
      <c r="AA10" s="46">
        <v>22240</v>
      </c>
      <c r="AB10" s="46">
        <v>22901</v>
      </c>
      <c r="AC10" s="24"/>
      <c r="AD10" s="24"/>
      <c r="AE10" s="117"/>
      <c r="AF10" s="24"/>
      <c r="AG10" s="46">
        <v>21400</v>
      </c>
      <c r="AH10" s="46">
        <v>21401</v>
      </c>
      <c r="AI10" s="46">
        <v>21500</v>
      </c>
      <c r="AJ10" s="46">
        <v>21501</v>
      </c>
      <c r="AK10" s="46">
        <v>21502</v>
      </c>
      <c r="AL10" s="46">
        <v>21503</v>
      </c>
      <c r="AM10" s="46">
        <v>22100</v>
      </c>
      <c r="AN10" s="46">
        <v>22102</v>
      </c>
      <c r="AO10" s="46">
        <v>22103</v>
      </c>
      <c r="AP10" s="46">
        <v>22104</v>
      </c>
      <c r="AQ10" s="46">
        <v>22105</v>
      </c>
      <c r="AR10" s="46">
        <v>22106</v>
      </c>
      <c r="AS10" s="46">
        <v>22107</v>
      </c>
      <c r="AT10" s="46">
        <v>22200</v>
      </c>
      <c r="AU10" s="46">
        <v>22201</v>
      </c>
      <c r="AV10" s="46">
        <v>22202</v>
      </c>
      <c r="AW10" s="46">
        <v>22205</v>
      </c>
      <c r="AX10" s="46">
        <v>22206</v>
      </c>
      <c r="AY10" s="46">
        <v>22231</v>
      </c>
      <c r="AZ10" s="46">
        <v>22233</v>
      </c>
      <c r="BA10" s="46">
        <v>22234</v>
      </c>
      <c r="BB10" s="46">
        <v>22235</v>
      </c>
      <c r="BC10" s="46">
        <v>22236</v>
      </c>
      <c r="BD10" s="46">
        <v>22240</v>
      </c>
      <c r="BE10" s="46">
        <v>22901</v>
      </c>
      <c r="BF10" s="46"/>
    </row>
    <row r="11" spans="1:58" ht="18" customHeight="1" thickBot="1">
      <c r="A11" s="27" t="s">
        <v>30</v>
      </c>
      <c r="B11" s="20"/>
      <c r="C11" s="20"/>
      <c r="D11" s="46" t="s">
        <v>214</v>
      </c>
      <c r="E11" s="46" t="s">
        <v>214</v>
      </c>
      <c r="F11" s="46" t="s">
        <v>24</v>
      </c>
      <c r="G11" s="46" t="s">
        <v>214</v>
      </c>
      <c r="H11" s="46" t="s">
        <v>200</v>
      </c>
      <c r="I11" s="46" t="s">
        <v>200</v>
      </c>
      <c r="J11" s="126" t="s">
        <v>97</v>
      </c>
      <c r="K11" s="46" t="s">
        <v>97</v>
      </c>
      <c r="L11" s="46" t="s">
        <v>97</v>
      </c>
      <c r="M11" s="46" t="s">
        <v>97</v>
      </c>
      <c r="N11" s="46" t="s">
        <v>97</v>
      </c>
      <c r="O11" s="46" t="s">
        <v>97</v>
      </c>
      <c r="P11" s="46" t="s">
        <v>97</v>
      </c>
      <c r="Q11" s="46" t="s">
        <v>97</v>
      </c>
      <c r="R11" s="46" t="s">
        <v>97</v>
      </c>
      <c r="S11" s="46" t="s">
        <v>97</v>
      </c>
      <c r="T11" s="46" t="s">
        <v>97</v>
      </c>
      <c r="U11" s="46" t="s">
        <v>97</v>
      </c>
      <c r="V11" s="46" t="s">
        <v>192</v>
      </c>
      <c r="W11" s="46" t="s">
        <v>192</v>
      </c>
      <c r="X11" s="46" t="s">
        <v>192</v>
      </c>
      <c r="Y11" s="46" t="s">
        <v>208</v>
      </c>
      <c r="Z11" s="46" t="s">
        <v>192</v>
      </c>
      <c r="AA11" s="46" t="s">
        <v>192</v>
      </c>
      <c r="AB11" s="46" t="s">
        <v>209</v>
      </c>
      <c r="AC11" s="24"/>
      <c r="AD11" s="20"/>
      <c r="AE11" s="118"/>
      <c r="AF11" s="28"/>
      <c r="AG11" s="46" t="s">
        <v>214</v>
      </c>
      <c r="AH11" s="46" t="s">
        <v>214</v>
      </c>
      <c r="AI11" s="46" t="s">
        <v>24</v>
      </c>
      <c r="AJ11" s="46" t="s">
        <v>214</v>
      </c>
      <c r="AK11" s="46" t="s">
        <v>200</v>
      </c>
      <c r="AL11" s="46" t="s">
        <v>200</v>
      </c>
      <c r="AM11" s="46" t="s">
        <v>97</v>
      </c>
      <c r="AN11" s="46" t="s">
        <v>97</v>
      </c>
      <c r="AO11" s="46" t="s">
        <v>97</v>
      </c>
      <c r="AP11" s="46" t="s">
        <v>97</v>
      </c>
      <c r="AQ11" s="46" t="s">
        <v>97</v>
      </c>
      <c r="AR11" s="46" t="s">
        <v>97</v>
      </c>
      <c r="AS11" s="46" t="s">
        <v>97</v>
      </c>
      <c r="AT11" s="46" t="s">
        <v>97</v>
      </c>
      <c r="AU11" s="46" t="s">
        <v>97</v>
      </c>
      <c r="AV11" s="46" t="s">
        <v>97</v>
      </c>
      <c r="AW11" s="46" t="s">
        <v>97</v>
      </c>
      <c r="AX11" s="46" t="s">
        <v>97</v>
      </c>
      <c r="AY11" s="46" t="s">
        <v>192</v>
      </c>
      <c r="AZ11" s="46" t="s">
        <v>192</v>
      </c>
      <c r="BA11" s="46" t="s">
        <v>192</v>
      </c>
      <c r="BB11" s="46" t="s">
        <v>208</v>
      </c>
      <c r="BC11" s="46" t="s">
        <v>192</v>
      </c>
      <c r="BD11" s="46" t="s">
        <v>192</v>
      </c>
      <c r="BE11" s="46" t="s">
        <v>209</v>
      </c>
      <c r="BF11" s="46"/>
    </row>
    <row r="12" spans="1:58" ht="33" customHeight="1">
      <c r="A12" s="29" t="s">
        <v>31</v>
      </c>
      <c r="B12" s="30">
        <f>AF1</f>
        <v>1995</v>
      </c>
      <c r="C12" s="31" t="s">
        <v>32</v>
      </c>
      <c r="D12" s="46" t="s">
        <v>0</v>
      </c>
      <c r="E12" s="46" t="s">
        <v>1</v>
      </c>
      <c r="F12" s="46" t="s">
        <v>2</v>
      </c>
      <c r="G12" s="46" t="s">
        <v>3</v>
      </c>
      <c r="H12" s="46" t="s">
        <v>4</v>
      </c>
      <c r="I12" s="46" t="s">
        <v>5</v>
      </c>
      <c r="J12" s="127" t="s">
        <v>6</v>
      </c>
      <c r="K12" s="46" t="s">
        <v>8</v>
      </c>
      <c r="L12" s="46" t="s">
        <v>9</v>
      </c>
      <c r="M12" s="46" t="s">
        <v>10</v>
      </c>
      <c r="N12" s="46" t="s">
        <v>11</v>
      </c>
      <c r="O12" s="46" t="s">
        <v>12</v>
      </c>
      <c r="P12" s="46" t="s">
        <v>13</v>
      </c>
      <c r="Q12" s="1" t="s">
        <v>14</v>
      </c>
      <c r="R12" s="1" t="s">
        <v>96</v>
      </c>
      <c r="S12" s="1" t="s">
        <v>15</v>
      </c>
      <c r="T12" s="1" t="s">
        <v>212</v>
      </c>
      <c r="U12" s="1" t="s">
        <v>213</v>
      </c>
      <c r="V12" s="1" t="s">
        <v>210</v>
      </c>
      <c r="W12" s="1" t="s">
        <v>196</v>
      </c>
      <c r="X12" s="1" t="s">
        <v>197</v>
      </c>
      <c r="Y12" s="1" t="s">
        <v>199</v>
      </c>
      <c r="Z12" s="1" t="s">
        <v>204</v>
      </c>
      <c r="AA12" s="1" t="s">
        <v>211</v>
      </c>
      <c r="AB12" s="46" t="s">
        <v>25</v>
      </c>
      <c r="AC12" s="24"/>
      <c r="AD12" s="29" t="s">
        <v>147</v>
      </c>
      <c r="AE12" s="30">
        <f>AF1</f>
        <v>1995</v>
      </c>
      <c r="AF12" s="31" t="s">
        <v>32</v>
      </c>
      <c r="AG12" s="46" t="s">
        <v>0</v>
      </c>
      <c r="AH12" s="46" t="s">
        <v>1</v>
      </c>
      <c r="AI12" s="46" t="s">
        <v>2</v>
      </c>
      <c r="AJ12" s="46" t="s">
        <v>3</v>
      </c>
      <c r="AK12" s="46" t="s">
        <v>4</v>
      </c>
      <c r="AL12" s="46" t="s">
        <v>5</v>
      </c>
      <c r="AM12" s="46" t="s">
        <v>6</v>
      </c>
      <c r="AN12" s="46" t="s">
        <v>8</v>
      </c>
      <c r="AO12" s="46" t="s">
        <v>9</v>
      </c>
      <c r="AP12" s="46" t="s">
        <v>10</v>
      </c>
      <c r="AQ12" s="46" t="s">
        <v>11</v>
      </c>
      <c r="AR12" s="46" t="s">
        <v>12</v>
      </c>
      <c r="AS12" s="46" t="s">
        <v>13</v>
      </c>
      <c r="AT12" s="46" t="s">
        <v>14</v>
      </c>
      <c r="AU12" s="46" t="s">
        <v>96</v>
      </c>
      <c r="AV12" s="46" t="s">
        <v>15</v>
      </c>
      <c r="AW12" s="46" t="s">
        <v>212</v>
      </c>
      <c r="AX12" s="46" t="s">
        <v>213</v>
      </c>
      <c r="AY12" s="46" t="s">
        <v>210</v>
      </c>
      <c r="AZ12" s="46" t="s">
        <v>196</v>
      </c>
      <c r="BA12" s="46" t="s">
        <v>197</v>
      </c>
      <c r="BB12" s="46" t="s">
        <v>199</v>
      </c>
      <c r="BC12" s="46" t="s">
        <v>204</v>
      </c>
      <c r="BD12" s="46" t="s">
        <v>211</v>
      </c>
      <c r="BE12" s="46" t="s">
        <v>25</v>
      </c>
      <c r="BF12" s="1"/>
    </row>
    <row r="13" spans="1:57" s="36" customFormat="1" ht="18" customHeight="1">
      <c r="A13" s="33" t="s">
        <v>104</v>
      </c>
      <c r="B13" s="119">
        <f>+D13+E13+F13+G13+H13+I13+J13+K13+L13+M13+N13+O13+P13+Q13+R13+S13+T13+U13+V13+W13+X13+Y13+Z13+AA13+AB13</f>
        <v>4100489.22</v>
      </c>
      <c r="C13" s="34">
        <f>IF((B13/$B$58)=0,"--",B13/$B$58)</f>
        <v>0.0024576567209271057</v>
      </c>
      <c r="D13" s="46"/>
      <c r="E13" s="46"/>
      <c r="F13" s="46"/>
      <c r="G13" s="46"/>
      <c r="H13" s="46"/>
      <c r="I13" s="46"/>
      <c r="J13" s="48" t="str">
        <f>'[1]1201'!$D$3</f>
        <v>0,00</v>
      </c>
      <c r="K13" s="48" t="str">
        <f>'[2]1201'!$D$3</f>
        <v>0,00</v>
      </c>
      <c r="L13" s="48" t="str">
        <f>'[3]1201'!$D$3</f>
        <v>0,00</v>
      </c>
      <c r="M13" s="48" t="str">
        <f>'[4]1201'!$D$3</f>
        <v>0,00</v>
      </c>
      <c r="N13" s="48" t="str">
        <f>'[5]1201'!$D$3</f>
        <v>0,00</v>
      </c>
      <c r="O13" s="48" t="str">
        <f>'[6]1201'!$D$3</f>
        <v>0,00</v>
      </c>
      <c r="P13" s="48" t="str">
        <f>'[7]1201'!$D$3</f>
        <v>0,00</v>
      </c>
      <c r="Q13" s="48" t="str">
        <f>'[8]1201'!$D$3</f>
        <v>1.202.024,21</v>
      </c>
      <c r="R13" s="48" t="str">
        <f>'[9]1201'!$D$3</f>
        <v>0,00</v>
      </c>
      <c r="S13" s="48" t="str">
        <f>'[10]1201'!$D$3</f>
        <v>13.606,91</v>
      </c>
      <c r="T13" s="48" t="str">
        <f>'[11]1201'!$D$3</f>
        <v>0,00</v>
      </c>
      <c r="U13" s="48" t="str">
        <f>'[12]1201'!$D$3</f>
        <v>0,00</v>
      </c>
      <c r="V13" s="48" t="str">
        <f>'[13]1211'!$D$3</f>
        <v>0,00</v>
      </c>
      <c r="W13" s="48" t="str">
        <f>'[14]1211'!$D$3</f>
        <v>0,00</v>
      </c>
      <c r="X13" s="48" t="str">
        <f>'[15]1211'!$D$3</f>
        <v>0,00</v>
      </c>
      <c r="Y13" s="48" t="str">
        <f>'[16]1211'!$D$3</f>
        <v>180.303,63</v>
      </c>
      <c r="Z13" s="48" t="str">
        <f>'[17]1211'!$D$3</f>
        <v>0,00</v>
      </c>
      <c r="AA13" s="48" t="str">
        <f>'[18]1211'!$D$3</f>
        <v>2.704.554,47</v>
      </c>
      <c r="AB13" s="48" t="str">
        <f>'[19]1291'!$D$3</f>
        <v>0,00</v>
      </c>
      <c r="AC13" s="35"/>
      <c r="AD13" s="32" t="s">
        <v>124</v>
      </c>
      <c r="AE13" s="119">
        <f>+AG13+AH13+AI13+AJ13+AK13+AL13+AM13+AN13+AO13+AP13+AQ13+AR13+AS13+AT13+AU13+AV13+AW13+AX13+AY13+AZ13+BA13+BB13+BC13+BD13+BE13</f>
        <v>592476100.49</v>
      </c>
      <c r="AF13" s="34">
        <f>IF((AE13/$AE$58)=0,"--",AE13/$AE$58)</f>
        <v>0.355104669768631</v>
      </c>
      <c r="AG13" s="47">
        <f aca="true" t="shared" si="0" ref="AG13:AK13">AG15+AG16+AG17+AG18+AG19+AG20+AG21+AG22+AG23</f>
        <v>4366007.6</v>
      </c>
      <c r="AH13" s="47">
        <f t="shared" si="0"/>
        <v>2873552.1199999996</v>
      </c>
      <c r="AI13" s="47">
        <f>AI15+AI16+AI17+AI18+AI19+AI20+AI21+AI22+AI23</f>
        <v>203486717.63000003</v>
      </c>
      <c r="AJ13" s="47">
        <f aca="true" t="shared" si="1" ref="AJ13">AJ15+AJ16+AJ17+AJ18+AJ19+AJ20+AJ21+AJ22+AJ23</f>
        <v>61716331.27</v>
      </c>
      <c r="AK13" s="47">
        <f t="shared" si="0"/>
        <v>102826626.17</v>
      </c>
      <c r="AL13" s="47">
        <f aca="true" t="shared" si="2" ref="AL13">AL15+AL16+AL17+AL18+AL19+AL20+AL21+AL22+AL23</f>
        <v>25216448.3</v>
      </c>
      <c r="AM13" s="48" t="str">
        <f>'[1]1201'!$L$3</f>
        <v>162.254,99</v>
      </c>
      <c r="AN13" s="48" t="str">
        <f>'[2]1201'!$L$3</f>
        <v>26.064.164,05</v>
      </c>
      <c r="AO13" s="48" t="str">
        <f>'[3]1201'!$L$3</f>
        <v>0,00</v>
      </c>
      <c r="AP13" s="48" t="str">
        <f>'[4]1201'!$L$3</f>
        <v>-252.274,83</v>
      </c>
      <c r="AQ13" s="48" t="str">
        <f>'[5]1201'!$L$3</f>
        <v>2.530.873,99</v>
      </c>
      <c r="AR13" s="48" t="str">
        <f>'[6]1201'!$L$3</f>
        <v>0,00</v>
      </c>
      <c r="AS13" s="48" t="str">
        <f>'[7]1201'!$L$3</f>
        <v>47.125.032,57</v>
      </c>
      <c r="AT13" s="48" t="str">
        <f>'[8]1201'!$L$3</f>
        <v>14.090.722,78</v>
      </c>
      <c r="AU13" s="48" t="str">
        <f>'[9]1201'!$L$3</f>
        <v>19.890.911,20</v>
      </c>
      <c r="AV13" s="48" t="str">
        <f>'[10]1201'!$L$3</f>
        <v>6.847.691,51</v>
      </c>
      <c r="AW13" s="48" t="str">
        <f>'[11]1201'!$L$3</f>
        <v>1.014.592,57</v>
      </c>
      <c r="AX13" s="48" t="str">
        <f>'[12]1201'!$L$3</f>
        <v>8.670.993,95</v>
      </c>
      <c r="AY13" s="48" t="str">
        <f>'[13]1211'!$L$3</f>
        <v>150.384,83</v>
      </c>
      <c r="AZ13" s="48" t="str">
        <f>'[14]1211'!$L$3</f>
        <v>1.353.124,66</v>
      </c>
      <c r="BA13" s="48" t="str">
        <f>'[15]1211'!$L$3</f>
        <v>22.253.206,40</v>
      </c>
      <c r="BB13" s="48" t="str">
        <f>'[16]1211'!$L$3</f>
        <v>554.000,99</v>
      </c>
      <c r="BC13" s="48" t="str">
        <f>'[17]1211'!$L$3</f>
        <v>150.253,03</v>
      </c>
      <c r="BD13" s="48" t="str">
        <f>'[18]1211'!$L$3</f>
        <v>3.488.466,58</v>
      </c>
      <c r="BE13" s="48" t="str">
        <f>'[19]1291'!$L$3</f>
        <v>37.896.018,13</v>
      </c>
    </row>
    <row r="14" spans="1:57" s="36" customFormat="1" ht="18" customHeight="1">
      <c r="A14" s="37"/>
      <c r="B14" s="120"/>
      <c r="C14" s="38"/>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35"/>
      <c r="AD14" s="4"/>
      <c r="AE14" s="120"/>
      <c r="AF14" s="38"/>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row>
    <row r="15" spans="1:57" s="36" customFormat="1" ht="18" customHeight="1">
      <c r="A15" s="33" t="s">
        <v>105</v>
      </c>
      <c r="B15" s="119">
        <f>+D15+E15+F15+G15+H15+I15+J15+K15+L15+M15+N15+O15+P15+Q15+R15+S15+T15+U15+V15+W15+X15+Y15+Z15+AA15+AB15</f>
        <v>1037066406.9299998</v>
      </c>
      <c r="C15" s="34">
        <f>IF((B15/$B$58)=0,"--",B15/$B$58)</f>
        <v>0.6215729607598477</v>
      </c>
      <c r="D15" s="48">
        <f aca="true" t="shared" si="3" ref="D15:H15">D17+D19+D21+D23+D25+D27+D29</f>
        <v>6942868.8100000005</v>
      </c>
      <c r="E15" s="48">
        <f t="shared" si="3"/>
        <v>6400449.9399999995</v>
      </c>
      <c r="F15" s="48">
        <f aca="true" t="shared" si="4" ref="F15:G15">F17+F19+F21+F23+F25+F27+F29</f>
        <v>176844854.73</v>
      </c>
      <c r="G15" s="48">
        <f t="shared" si="4"/>
        <v>138583182.48</v>
      </c>
      <c r="H15" s="48">
        <f t="shared" si="3"/>
        <v>95167531.03</v>
      </c>
      <c r="I15" s="48">
        <f aca="true" t="shared" si="5" ref="I15">I17+I19+I21+I23+I25+I27+I29</f>
        <v>23284067.46</v>
      </c>
      <c r="J15" s="48">
        <f>'[1]1201'!$D$4+0.01</f>
        <v>35987921.85</v>
      </c>
      <c r="K15" s="48" t="str">
        <f>'[2]1201'!$D$4</f>
        <v>296.932.025,53</v>
      </c>
      <c r="L15" s="48">
        <f>'[3]1201'!$D$4-0.01</f>
        <v>35579405.53</v>
      </c>
      <c r="M15" s="48" t="str">
        <f>'[4]1201'!$D$4</f>
        <v>2.120.761,36</v>
      </c>
      <c r="N15" s="48" t="str">
        <f>'[5]1201'!$D$4</f>
        <v>17.865.691,83</v>
      </c>
      <c r="O15" s="48" t="str">
        <f>'[6]1201'!$D$4</f>
        <v>30.555.948,22</v>
      </c>
      <c r="P15" s="48" t="str">
        <f>'[7]1201'!$D$4</f>
        <v>71.664.832,71</v>
      </c>
      <c r="Q15" s="48" t="str">
        <f>'[8]1201'!$D$4</f>
        <v>14.108.723,09</v>
      </c>
      <c r="R15" s="48" t="str">
        <f>'[9]1201'!$D$4</f>
        <v>2.314.741,05</v>
      </c>
      <c r="S15" s="48" t="str">
        <f>'[10]1201'!$D$4</f>
        <v>22.179.546,36</v>
      </c>
      <c r="T15" s="48" t="str">
        <f>'[11]1201'!$D$4</f>
        <v>529.323,38</v>
      </c>
      <c r="U15" s="48" t="str">
        <f>'[12]1201'!$D$4</f>
        <v>27.356.688,66</v>
      </c>
      <c r="V15" s="48" t="str">
        <f>'[13]1211'!$D$4</f>
        <v>95.590,43</v>
      </c>
      <c r="W15" s="48" t="str">
        <f>'[14]1211'!$D$4</f>
        <v>12.579,18</v>
      </c>
      <c r="X15" s="48" t="str">
        <f>'[15]1211'!$D$4</f>
        <v>12.824.107,80</v>
      </c>
      <c r="Y15" s="48" t="str">
        <f>'[16]1211'!$D$4</f>
        <v>63.174,12</v>
      </c>
      <c r="Z15" s="48" t="str">
        <f>'[17]1211'!$D$4</f>
        <v>855.757,09</v>
      </c>
      <c r="AA15" s="48" t="str">
        <f>'[18]1211'!$D$4</f>
        <v>42.173,02</v>
      </c>
      <c r="AB15" s="48">
        <f>'[19]1291'!$D$4+0.01</f>
        <v>18754461.270000003</v>
      </c>
      <c r="AC15" s="35"/>
      <c r="AD15" s="1" t="s">
        <v>151</v>
      </c>
      <c r="AE15" s="48">
        <f>+AG15+AH15+AI15+AJ15+AK15+AL15+AM15+AN15+AO15+AP15+AQ15+AR15+AS15+AT15+AU15+AV15+AW15+AX15+AY15+AZ15+BA15+BB15+BC15+BD15+BE15</f>
        <v>395002631.18</v>
      </c>
      <c r="AF15" s="39">
        <f aca="true" t="shared" si="6" ref="AF15:AF23">IF((AE15/$AE$58)=0,"--",AE15/$AE$58)</f>
        <v>0.23674757308675898</v>
      </c>
      <c r="AG15" s="47">
        <f>'[20]1120'!$L$4+'[20]1120'!$L$5</f>
        <v>7950000.38</v>
      </c>
      <c r="AH15" s="47">
        <f>'[21]1120'!$L$4+'[21]1120'!$L$5</f>
        <v>3143674.36</v>
      </c>
      <c r="AI15" s="47">
        <f>'[22]1100'!$L$4-0.01</f>
        <v>180368720.92000002</v>
      </c>
      <c r="AJ15" s="47">
        <f>'[23]1120'!$L$4+'[23]1120'!$L$5</f>
        <v>62699548.09</v>
      </c>
      <c r="AK15" s="47">
        <f>'[24]1100'!$L$4+'[24]1100'!$L$9</f>
        <v>117575105.73</v>
      </c>
      <c r="AL15" s="47">
        <f>'[25]1100'!$L$4+'[25]1100'!$L$9</f>
        <v>23265581.7</v>
      </c>
      <c r="AM15" s="48"/>
      <c r="AN15" s="48"/>
      <c r="AO15" s="48"/>
      <c r="AP15" s="48"/>
      <c r="AQ15" s="48"/>
      <c r="AR15" s="48"/>
      <c r="AS15" s="48"/>
      <c r="AT15" s="48"/>
      <c r="AU15" s="48"/>
      <c r="AV15" s="48"/>
      <c r="AW15" s="48"/>
      <c r="AX15" s="48"/>
      <c r="AY15" s="48"/>
      <c r="AZ15" s="48"/>
      <c r="BA15" s="48"/>
      <c r="BB15" s="48"/>
      <c r="BC15" s="48"/>
      <c r="BD15" s="48"/>
      <c r="BE15" s="48"/>
    </row>
    <row r="16" spans="1:57" s="36" customFormat="1" ht="18" customHeight="1">
      <c r="A16" s="37"/>
      <c r="B16" s="120"/>
      <c r="C16" s="3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35"/>
      <c r="AD16" s="1" t="s">
        <v>125</v>
      </c>
      <c r="AE16" s="48">
        <f aca="true" t="shared" si="7" ref="AE16:AE23">+AG16+AH16+AI16+AJ16+AK16+AL16+AM16+AN16+AO16+AP16+AQ16+AR16+AS16+AT16+AU16+AV16+AW16+AX16+AY16+AZ16+BA16+BB16+BC16+BD16+BE16</f>
        <v>255755978.51999998</v>
      </c>
      <c r="AF16" s="39">
        <f t="shared" si="6"/>
        <v>0.15328912376142428</v>
      </c>
      <c r="AG16" s="47"/>
      <c r="AH16" s="47"/>
      <c r="AI16" s="47"/>
      <c r="AJ16" s="47"/>
      <c r="AK16" s="47"/>
      <c r="AL16" s="47"/>
      <c r="AM16" s="48" t="str">
        <f>'[1]1201'!$L$4</f>
        <v>225.326,88</v>
      </c>
      <c r="AN16" s="48" t="str">
        <f>'[2]1201'!$L$4</f>
        <v>66.293.341,99</v>
      </c>
      <c r="AO16" s="48" t="str">
        <f>'[3]1201'!$L$4</f>
        <v>0,00</v>
      </c>
      <c r="AP16" s="48" t="str">
        <f>'[4]1201'!$L$4</f>
        <v>0,00</v>
      </c>
      <c r="AQ16" s="48" t="str">
        <f>'[5]1201'!$L$4</f>
        <v>2.547.047,23</v>
      </c>
      <c r="AR16" s="48" t="str">
        <f>'[6]1201'!$L$4</f>
        <v>0,00</v>
      </c>
      <c r="AS16" s="48" t="str">
        <f>'[7]1201'!$L$4</f>
        <v>47.293.402,09</v>
      </c>
      <c r="AT16" s="48" t="str">
        <f>'[8]1201'!$L$4</f>
        <v>11.996.201,60</v>
      </c>
      <c r="AU16" s="48">
        <f>'[9]1201'!$L$4-0.01</f>
        <v>20431887.29</v>
      </c>
      <c r="AV16" s="48" t="str">
        <f>'[10]1201'!$L$4</f>
        <v>8.432.199,82</v>
      </c>
      <c r="AW16" s="48" t="str">
        <f>'[11]1201'!$L$4</f>
        <v>1.352.277,23</v>
      </c>
      <c r="AX16" s="48" t="str">
        <f>'[12]1201'!$L$4</f>
        <v>8.714.675,51</v>
      </c>
      <c r="AY16" s="48">
        <f>'[13]1211'!$L$4-0.01</f>
        <v>150253.02</v>
      </c>
      <c r="AZ16" s="48">
        <f>'[14]1211'!$L$4-0.01</f>
        <v>1202024.2</v>
      </c>
      <c r="BA16" s="48" t="str">
        <f>'[15]1211'!$L$4</f>
        <v>22.357.650,28</v>
      </c>
      <c r="BB16" s="48" t="str">
        <f>'[16]1211'!$L$4</f>
        <v>540.910,89</v>
      </c>
      <c r="BC16" s="48" t="str">
        <f>'[17]1211'!$L$4</f>
        <v>150.253,03</v>
      </c>
      <c r="BD16" s="48" t="str">
        <f>'[18]1211'!$L$4</f>
        <v>3.606.072,63</v>
      </c>
      <c r="BE16" s="48" t="str">
        <f>'[19]1291'!$L$4</f>
        <v>60.462.454,83</v>
      </c>
    </row>
    <row r="17" spans="1:57" s="36" customFormat="1" ht="18" customHeight="1">
      <c r="A17" s="35" t="s">
        <v>106</v>
      </c>
      <c r="B17" s="48">
        <f>+D17+E17+F17+G17+H17+I17+J17+K17+L17+M17+N17+O17+P17+Q17+R17+S17+T17+U17+V17+W17+X17+Y17+Z17+AA17+AB17</f>
        <v>1101241.74</v>
      </c>
      <c r="C17" s="39">
        <f>IF((B17/$B$58)=0,"--",B17/$B$58)</f>
        <v>0.0006600368927872611</v>
      </c>
      <c r="D17" s="48"/>
      <c r="E17" s="48"/>
      <c r="F17" s="48"/>
      <c r="G17" s="48"/>
      <c r="H17" s="48"/>
      <c r="I17" s="48"/>
      <c r="J17" s="48" t="str">
        <f>'[1]1201'!$D$5</f>
        <v>0,00</v>
      </c>
      <c r="K17" s="48" t="str">
        <f>'[2]1201'!$D$5</f>
        <v>0,00</v>
      </c>
      <c r="L17" s="48" t="str">
        <f>'[3]1201'!$D$5</f>
        <v>0,00</v>
      </c>
      <c r="M17" s="48" t="str">
        <f>'[4]1201'!$D$5</f>
        <v>0,00</v>
      </c>
      <c r="N17" s="48" t="str">
        <f>'[5]1201'!$D$5</f>
        <v>0,00</v>
      </c>
      <c r="O17" s="48" t="str">
        <f>'[6]1201'!$D$5</f>
        <v>0,00</v>
      </c>
      <c r="P17" s="48" t="str">
        <f>'[7]1201'!$D$5</f>
        <v>2.311,61</v>
      </c>
      <c r="Q17" s="48" t="str">
        <f>'[8]1201'!$D$5</f>
        <v>54.914,48</v>
      </c>
      <c r="R17" s="48" t="str">
        <f>'[9]1201'!$D$5</f>
        <v>471.888,73</v>
      </c>
      <c r="S17" s="48" t="str">
        <f>'[10]1201'!$D$5</f>
        <v>0,00</v>
      </c>
      <c r="T17" s="48" t="str">
        <f>'[11]1201'!$D$5</f>
        <v>0,00</v>
      </c>
      <c r="U17" s="48" t="str">
        <f>'[12]1201'!$D$5</f>
        <v>98.535,93</v>
      </c>
      <c r="V17" s="48" t="str">
        <f>'[13]1211'!$D$5</f>
        <v>95.590,43</v>
      </c>
      <c r="W17" s="48" t="str">
        <f>'[14]1211'!$D$5</f>
        <v>7.043,86</v>
      </c>
      <c r="X17" s="48" t="str">
        <f>'[15]1211'!$D$5</f>
        <v>0,00</v>
      </c>
      <c r="Y17" s="48" t="str">
        <f>'[16]1211'!$D$5</f>
        <v>0,00</v>
      </c>
      <c r="Z17" s="48" t="str">
        <f>'[17]1211'!$D$5</f>
        <v>335.430,87</v>
      </c>
      <c r="AA17" s="48" t="str">
        <f>'[18]1211'!$D$5</f>
        <v>35.525,83</v>
      </c>
      <c r="AB17" s="48" t="str">
        <f>'[19]1291'!$D$5</f>
        <v>0,00</v>
      </c>
      <c r="AC17" s="35"/>
      <c r="AD17" s="1" t="s">
        <v>70</v>
      </c>
      <c r="AE17" s="48">
        <f t="shared" si="7"/>
        <v>0</v>
      </c>
      <c r="AF17" s="39" t="str">
        <f t="shared" si="6"/>
        <v>--</v>
      </c>
      <c r="AG17" s="47"/>
      <c r="AH17" s="47"/>
      <c r="AI17" s="47"/>
      <c r="AJ17" s="47"/>
      <c r="AK17" s="47"/>
      <c r="AL17" s="47"/>
      <c r="AM17" s="48" t="str">
        <f>'[1]1201'!$L$5</f>
        <v>0,00</v>
      </c>
      <c r="AN17" s="48" t="str">
        <f>'[2]1201'!$L$5</f>
        <v>0,00</v>
      </c>
      <c r="AO17" s="48" t="str">
        <f>'[3]1201'!$L$5</f>
        <v>0,00</v>
      </c>
      <c r="AP17" s="48" t="str">
        <f>'[4]1201'!$L$5</f>
        <v>0,00</v>
      </c>
      <c r="AQ17" s="48" t="str">
        <f>'[5]1201'!$L$5</f>
        <v>0,00</v>
      </c>
      <c r="AR17" s="48" t="str">
        <f>'[6]1201'!$L$5</f>
        <v>0,00</v>
      </c>
      <c r="AS17" s="48" t="str">
        <f>'[7]1201'!$L$5</f>
        <v>0,00</v>
      </c>
      <c r="AT17" s="48" t="str">
        <f>'[8]1201'!$L$5</f>
        <v>0,00</v>
      </c>
      <c r="AU17" s="48" t="str">
        <f>'[9]1201'!$L$5</f>
        <v>0,00</v>
      </c>
      <c r="AV17" s="48" t="str">
        <f>'[10]1201'!$L$5</f>
        <v>0,00</v>
      </c>
      <c r="AW17" s="48" t="str">
        <f>'[11]1201'!$L$5</f>
        <v>0,00</v>
      </c>
      <c r="AX17" s="48" t="str">
        <f>'[12]1201'!$L$5</f>
        <v>0,00</v>
      </c>
      <c r="AY17" s="48" t="str">
        <f>'[13]1211'!$L$5</f>
        <v>0,00</v>
      </c>
      <c r="AZ17" s="48" t="str">
        <f>'[14]1211'!$L$5</f>
        <v>0,00</v>
      </c>
      <c r="BA17" s="48" t="str">
        <f>'[15]1211'!$L$5</f>
        <v>0,00</v>
      </c>
      <c r="BB17" s="48" t="str">
        <f>'[16]1211'!$L$5</f>
        <v>0,00</v>
      </c>
      <c r="BC17" s="48" t="str">
        <f>'[17]1211'!$L$5</f>
        <v>0,00</v>
      </c>
      <c r="BD17" s="48" t="str">
        <f>'[18]1211'!$L$5</f>
        <v>0,00</v>
      </c>
      <c r="BE17" s="48" t="str">
        <f>'[19]1291'!$L$5</f>
        <v>0,00</v>
      </c>
    </row>
    <row r="18" spans="1:57" s="36" customFormat="1" ht="18" customHeight="1">
      <c r="A18" s="37"/>
      <c r="B18" s="120"/>
      <c r="C18" s="3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35"/>
      <c r="AD18" s="1" t="s">
        <v>18</v>
      </c>
      <c r="AE18" s="48">
        <f t="shared" si="7"/>
        <v>5427354.999999998</v>
      </c>
      <c r="AF18" s="39">
        <f t="shared" si="6"/>
        <v>0.0032529229506442457</v>
      </c>
      <c r="AG18" s="47" t="str">
        <f>'[20]1120'!$L$7</f>
        <v>0,00</v>
      </c>
      <c r="AH18" s="47" t="str">
        <f>'[21]1120'!$L$7</f>
        <v>0,00</v>
      </c>
      <c r="AI18" s="47" t="str">
        <f>'[22]1100'!$L$11</f>
        <v>0,00</v>
      </c>
      <c r="AJ18" s="47" t="str">
        <f>'[23]1120'!$L$7</f>
        <v>0,00</v>
      </c>
      <c r="AK18" s="47" t="str">
        <f>'[24]1100'!$L$8</f>
        <v>0,00</v>
      </c>
      <c r="AL18" s="47" t="str">
        <f>'[25]1100'!$L$8</f>
        <v>2.344.807,75</v>
      </c>
      <c r="AM18" s="48">
        <f>'[1]1201'!$L$6+'[1]1201'!$L$7</f>
        <v>0</v>
      </c>
      <c r="AN18" s="48">
        <f>'[2]1201'!$L$6+'[2]1201'!$L$7</f>
        <v>0</v>
      </c>
      <c r="AO18" s="48">
        <f>'[3]1201'!$L$6+'[3]1201'!$L$7</f>
        <v>0</v>
      </c>
      <c r="AP18" s="48">
        <f>'[4]1201'!$L$6+'[4]1201'!$L$7</f>
        <v>0</v>
      </c>
      <c r="AQ18" s="48">
        <f>'[5]1201'!$L$6+'[5]1201'!$L$7</f>
        <v>0</v>
      </c>
      <c r="AR18" s="48">
        <f>'[6]1201'!$L$6+'[6]1201'!$L$7</f>
        <v>0</v>
      </c>
      <c r="AS18" s="48">
        <f>'[7]1201'!$L$6+'[7]1201'!$L$7</f>
        <v>149641.9</v>
      </c>
      <c r="AT18" s="48">
        <f>'[8]1201'!$L$6+'[8]1201'!$L$7</f>
        <v>2692876.8</v>
      </c>
      <c r="AU18" s="48">
        <f>'[9]1201'!$L$6+'[9]1201'!$L$7</f>
        <v>0</v>
      </c>
      <c r="AV18" s="48">
        <f>'[10]1201'!$L$6+'[10]1201'!$L$7</f>
        <v>0</v>
      </c>
      <c r="AW18" s="48">
        <f>'[11]1201'!$L$6+'[11]1201'!$L$7</f>
        <v>124463.6</v>
      </c>
      <c r="AX18" s="48">
        <f>'[12]1201'!$L$6+'[12]1201'!$L$7</f>
        <v>0</v>
      </c>
      <c r="AY18" s="48">
        <f>'[13]1211'!$L$6+'[13]1211'!$L$7</f>
        <v>86.43</v>
      </c>
      <c r="AZ18" s="48">
        <f>'[14]1211'!$L$6+'[14]1211'!$L$7</f>
        <v>0</v>
      </c>
      <c r="BA18" s="48">
        <f>'[15]1211'!$L$6+'[15]1211'!$L$7</f>
        <v>98409.72</v>
      </c>
      <c r="BB18" s="48">
        <f>'[16]1211'!$L$6+'[16]1211'!$L$7</f>
        <v>13090.1</v>
      </c>
      <c r="BC18" s="48">
        <f>'[17]1211'!$L$6+'[17]1211'!$L$7</f>
        <v>0</v>
      </c>
      <c r="BD18" s="48">
        <f>'[18]1211'!$L$6+'[18]1211'!$L$7</f>
        <v>3978.7</v>
      </c>
      <c r="BE18" s="48">
        <f>'[19]1291'!$L$6+'[19]1291'!$L$8+'[19]1291'!$L$9</f>
        <v>0</v>
      </c>
    </row>
    <row r="19" spans="1:57" s="36" customFormat="1" ht="18" customHeight="1">
      <c r="A19" s="35" t="s">
        <v>107</v>
      </c>
      <c r="B19" s="48">
        <f>+D19+E19+F19+G19+H19+I19+J19+K19+L19+M19+N19+O19+P19+Q19+R19+S19+T19+U19+V19+W19+X19+Y19+Z19+AA19+AB19</f>
        <v>0</v>
      </c>
      <c r="C19" s="39" t="str">
        <f>IF((B19/$B$58)=0,"--",B19/$B$58)</f>
        <v>--</v>
      </c>
      <c r="D19" s="48" t="str">
        <f>'[20]1120'!$D$9</f>
        <v>0,00</v>
      </c>
      <c r="E19" s="48" t="str">
        <f>'[21]1120'!$D$9</f>
        <v>0,00</v>
      </c>
      <c r="F19" s="48" t="str">
        <f>'[22]1100'!$D$4</f>
        <v>0,00</v>
      </c>
      <c r="G19" s="48" t="str">
        <f>'[23]1120'!$D$9</f>
        <v>0,00</v>
      </c>
      <c r="H19" s="48" t="str">
        <f>'[24]1100'!$D$19</f>
        <v>0,00</v>
      </c>
      <c r="I19" s="48" t="str">
        <f>'[25]1100'!$D$19</f>
        <v>0,00</v>
      </c>
      <c r="J19" s="48"/>
      <c r="K19" s="48"/>
      <c r="L19" s="48"/>
      <c r="M19" s="48"/>
      <c r="N19" s="48"/>
      <c r="O19" s="48"/>
      <c r="P19" s="48"/>
      <c r="Q19" s="48"/>
      <c r="R19" s="48"/>
      <c r="S19" s="48"/>
      <c r="T19" s="48"/>
      <c r="U19" s="48"/>
      <c r="V19" s="48"/>
      <c r="W19" s="48"/>
      <c r="X19" s="48"/>
      <c r="Y19" s="48"/>
      <c r="Z19" s="48"/>
      <c r="AA19" s="48"/>
      <c r="AB19" s="48"/>
      <c r="AC19" s="35"/>
      <c r="AD19" s="1" t="s">
        <v>126</v>
      </c>
      <c r="AE19" s="48">
        <f t="shared" si="7"/>
        <v>-42661357.260000005</v>
      </c>
      <c r="AF19" s="39">
        <f t="shared" si="6"/>
        <v>-0.025569381058856033</v>
      </c>
      <c r="AG19" s="47" t="str">
        <f>'[20]1120'!$L$8</f>
        <v>0,00</v>
      </c>
      <c r="AH19" s="47" t="str">
        <f>'[21]1120'!$L$8</f>
        <v>-331.159,29</v>
      </c>
      <c r="AI19" s="47" t="str">
        <f>'[22]1100'!$L$12</f>
        <v>0,00</v>
      </c>
      <c r="AJ19" s="47" t="str">
        <f>'[23]1120'!$L$8</f>
        <v>0,00</v>
      </c>
      <c r="AK19" s="47">
        <f>-'[24]1100'!$D$3</f>
        <v>0</v>
      </c>
      <c r="AL19" s="47">
        <f>-'[25]1100'!$D$3</f>
        <v>0</v>
      </c>
      <c r="AM19" s="48" t="str">
        <f>'[1]1201'!$L$14</f>
        <v>-63.071,89</v>
      </c>
      <c r="AN19" s="48" t="str">
        <f>'[2]1201'!$L$14</f>
        <v>-33.460.285,12</v>
      </c>
      <c r="AO19" s="48" t="str">
        <f>'[3]1201'!$L$14</f>
        <v>0,00</v>
      </c>
      <c r="AP19" s="48" t="str">
        <f>'[4]1201'!$L$14</f>
        <v>0,00</v>
      </c>
      <c r="AQ19" s="48" t="str">
        <f>'[5]1201'!$L$14</f>
        <v>-16.173,24</v>
      </c>
      <c r="AR19" s="48" t="str">
        <f>'[6]1201'!$L$14</f>
        <v>0,00</v>
      </c>
      <c r="AS19" s="48" t="str">
        <f>'[7]1201'!$L$14</f>
        <v>0,00</v>
      </c>
      <c r="AT19" s="48" t="str">
        <f>'[8]1201'!$L$14</f>
        <v>-632.048,37</v>
      </c>
      <c r="AU19" s="48">
        <f>'[9]1201'!$L$14+0.01</f>
        <v>-602763.85</v>
      </c>
      <c r="AV19" s="48" t="str">
        <f>'[10]1201'!$L$14</f>
        <v>0,00</v>
      </c>
      <c r="AW19" s="48" t="str">
        <f>'[11]1201'!$L$14</f>
        <v>-512.837,62</v>
      </c>
      <c r="AX19" s="48" t="str">
        <f>'[12]1201'!$L$14</f>
        <v>-43.681,56</v>
      </c>
      <c r="AY19" s="48" t="str">
        <f>'[13]1211'!$L$14</f>
        <v>0,00</v>
      </c>
      <c r="AZ19" s="48" t="str">
        <f>'[14]1211'!$L$14</f>
        <v>-174.371,64</v>
      </c>
      <c r="BA19" s="48" t="str">
        <f>'[15]1211'!$L$14</f>
        <v>-270.665,80</v>
      </c>
      <c r="BB19" s="48" t="str">
        <f>'[16]1211'!$L$14</f>
        <v>398,33</v>
      </c>
      <c r="BC19" s="48" t="str">
        <f>'[17]1211'!$L$14</f>
        <v>0,00</v>
      </c>
      <c r="BD19" s="48" t="str">
        <f>'[18]1211'!$L$14</f>
        <v>-9.021,19</v>
      </c>
      <c r="BE19" s="48" t="str">
        <f>'[19]1291'!$L$10</f>
        <v>-6.545.676,02</v>
      </c>
    </row>
    <row r="20" spans="1:57" s="36" customFormat="1" ht="18" customHeight="1">
      <c r="A20" s="35"/>
      <c r="B20" s="48"/>
      <c r="C20" s="39"/>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35"/>
      <c r="AD20" s="1" t="s">
        <v>127</v>
      </c>
      <c r="AE20" s="48">
        <f t="shared" si="7"/>
        <v>-156749985.38</v>
      </c>
      <c r="AF20" s="39">
        <f t="shared" si="6"/>
        <v>-0.09394919347559763</v>
      </c>
      <c r="AG20" s="47">
        <f>IF('[20]1120'!$R$44&gt;0,-'[20]1120'!$D$44,'[20]1120'!$L$30)</f>
        <v>-3583992.78</v>
      </c>
      <c r="AH20" s="47" t="str">
        <f>IF('[21]1120'!$R$44&gt;0,-'[21]1120'!$D$44,'[21]1120'!$L$30)</f>
        <v>61.037,05</v>
      </c>
      <c r="AI20" s="47" t="str">
        <f>'[22]1100'!$L$15</f>
        <v>23.117.996,71</v>
      </c>
      <c r="AJ20" s="47">
        <f>IF('[23]1120'!$R$44&gt;0,-'[23]1120'!$D$44,'[23]1120'!$L$30)</f>
        <v>-983216.82</v>
      </c>
      <c r="AK20" s="47">
        <f>-'[24]1100'!$D$61+'[24]1100'!$L$51</f>
        <v>-14748479.56</v>
      </c>
      <c r="AL20" s="47">
        <f>-'[25]1100'!$D$61+'[25]1100'!$L$51</f>
        <v>-393941.15</v>
      </c>
      <c r="AM20" s="48" t="str">
        <f>'[1]1201'!$L$17</f>
        <v>-30.059.197,88</v>
      </c>
      <c r="AN20" s="48" t="str">
        <f>'[2]1201'!$L$17</f>
        <v>-37.805.278,09</v>
      </c>
      <c r="AO20" s="48" t="str">
        <f>'[3]1201'!$L$17</f>
        <v>-4.739.736,19</v>
      </c>
      <c r="AP20" s="48" t="str">
        <f>'[4]1201'!$L$17</f>
        <v>-8.495.528,47</v>
      </c>
      <c r="AQ20" s="48" t="str">
        <f>'[5]1201'!$L$17</f>
        <v>-13.725.649,99</v>
      </c>
      <c r="AR20" s="48" t="str">
        <f>'[6]1201'!$L$17</f>
        <v>-1.217.668,55</v>
      </c>
      <c r="AS20" s="48" t="str">
        <f>'[7]1201'!$L$17</f>
        <v>-986.036,37</v>
      </c>
      <c r="AT20" s="48" t="str">
        <f>'[8]1201'!$L$17</f>
        <v>33.692,74</v>
      </c>
      <c r="AU20" s="48" t="str">
        <f>'[9]1201'!$L$17</f>
        <v>61.787,76</v>
      </c>
      <c r="AV20" s="48" t="str">
        <f>'[10]1201'!$L$17</f>
        <v>-1.584.508,31</v>
      </c>
      <c r="AW20" s="48" t="str">
        <f>'[11]1201'!$L$17</f>
        <v>50.689,36</v>
      </c>
      <c r="AX20" s="48" t="str">
        <f>'[12]1201'!$L$17</f>
        <v>-2.567.409,52</v>
      </c>
      <c r="AY20" s="48" t="str">
        <f>'[13]1211'!$L$17</f>
        <v>45,38</v>
      </c>
      <c r="AZ20" s="48" t="str">
        <f>'[14]1211'!$L$17</f>
        <v>325.472,10</v>
      </c>
      <c r="BA20" s="48" t="str">
        <f>'[15]1211'!$L$17</f>
        <v>67.812,20</v>
      </c>
      <c r="BB20" s="48" t="str">
        <f>'[16]1211'!$L$17</f>
        <v>-398,33</v>
      </c>
      <c r="BC20" s="48" t="str">
        <f>'[17]1211'!$L$17</f>
        <v>0,00</v>
      </c>
      <c r="BD20" s="48" t="str">
        <f>'[18]1211'!$L$17</f>
        <v>-112.563,56</v>
      </c>
      <c r="BE20" s="48" t="str">
        <f>'[19]1291'!$L$16</f>
        <v>-59.464.913,11</v>
      </c>
    </row>
    <row r="21" spans="1:57" s="36" customFormat="1" ht="18" customHeight="1">
      <c r="A21" s="35" t="s">
        <v>108</v>
      </c>
      <c r="B21" s="48">
        <f>+D21+E21+F21+G21+H21+I21+J21+K21+L21+M21+N21+O21+P21+Q21+R21+S21+T21+U21+V21+W21+X21+Y21+Z21+AA21+AB21</f>
        <v>6088697.6</v>
      </c>
      <c r="C21" s="39">
        <f>IF((B21/$B$58)=0,"--",B21/$B$58)</f>
        <v>0.0036493032356594603</v>
      </c>
      <c r="D21" s="48" t="str">
        <f>'[20]1120'!$D$13</f>
        <v>28.616,48</v>
      </c>
      <c r="E21" s="48" t="str">
        <f>'[21]1120'!$D$13</f>
        <v>29.608,47</v>
      </c>
      <c r="F21" s="48" t="str">
        <f>'[22]1100'!$D$10</f>
        <v>349.170,00</v>
      </c>
      <c r="G21" s="48" t="str">
        <f>'[23]1120'!$D$13</f>
        <v>0,00</v>
      </c>
      <c r="H21" s="48" t="str">
        <f>'[24]1100'!$D$14</f>
        <v>0,00</v>
      </c>
      <c r="I21" s="48" t="str">
        <f>'[25]1100'!$D$14</f>
        <v>1.967.790,87</v>
      </c>
      <c r="J21" s="48" t="str">
        <f>'[1]1201'!$D$6</f>
        <v>1.065.737,80</v>
      </c>
      <c r="K21" s="48" t="str">
        <f>'[2]1201'!$D$6</f>
        <v>226.311,11</v>
      </c>
      <c r="L21" s="48" t="str">
        <f>'[3]1201'!$D$6</f>
        <v>48.237,61</v>
      </c>
      <c r="M21" s="48" t="str">
        <f>'[4]1201'!$D$6</f>
        <v>12.350,80</v>
      </c>
      <c r="N21" s="48" t="str">
        <f>'[5]1201'!$D$6</f>
        <v>460.898,15</v>
      </c>
      <c r="O21" s="48" t="str">
        <f>'[6]1201'!$D$6</f>
        <v>63.749,35</v>
      </c>
      <c r="P21" s="48" t="str">
        <f>'[7]1201'!$D$6</f>
        <v>206.491,00</v>
      </c>
      <c r="Q21" s="48" t="str">
        <f>'[8]1201'!$D$6</f>
        <v>118.892,21</v>
      </c>
      <c r="R21" s="48" t="str">
        <f>'[9]1201'!$D$6</f>
        <v>223.635,05</v>
      </c>
      <c r="S21" s="48" t="str">
        <f>'[10]1201'!$D$6</f>
        <v>23.577,70</v>
      </c>
      <c r="T21" s="48" t="str">
        <f>'[11]1201'!$D$6</f>
        <v>124.343,39</v>
      </c>
      <c r="U21" s="48" t="str">
        <f>'[12]1201'!$D$6</f>
        <v>858.533,77</v>
      </c>
      <c r="V21" s="48" t="str">
        <f>'[13]1211'!$D$6</f>
        <v>0,00</v>
      </c>
      <c r="W21" s="48" t="str">
        <f>'[14]1211'!$D$6</f>
        <v>0,00</v>
      </c>
      <c r="X21" s="48" t="str">
        <f>'[15]1211'!$D$6</f>
        <v>0,00</v>
      </c>
      <c r="Y21" s="48" t="str">
        <f>'[16]1211'!$D$6</f>
        <v>0,00</v>
      </c>
      <c r="Z21" s="48" t="str">
        <f>'[17]1211'!$D$6</f>
        <v>45.526,67</v>
      </c>
      <c r="AA21" s="48" t="str">
        <f>'[18]1211'!$D$6</f>
        <v>0,00</v>
      </c>
      <c r="AB21" s="48" t="str">
        <f>'[19]1291'!$D$6</f>
        <v>235.227,17</v>
      </c>
      <c r="AC21" s="35"/>
      <c r="AD21" s="1" t="s">
        <v>128</v>
      </c>
      <c r="AE21" s="48">
        <f t="shared" si="7"/>
        <v>135701478.42999998</v>
      </c>
      <c r="AF21" s="39">
        <f t="shared" si="6"/>
        <v>0.08133362450425707</v>
      </c>
      <c r="AG21" s="47"/>
      <c r="AH21" s="47"/>
      <c r="AI21" s="47"/>
      <c r="AJ21" s="47"/>
      <c r="AK21" s="47"/>
      <c r="AL21" s="47"/>
      <c r="AM21" s="48" t="str">
        <f>'[1]1201'!$L$18</f>
        <v>30.059.197,88</v>
      </c>
      <c r="AN21" s="48" t="str">
        <f>'[2]1201'!$L$18</f>
        <v>31.036.385,27</v>
      </c>
      <c r="AO21" s="48" t="str">
        <f>'[3]1201'!$L$18</f>
        <v>4.739.736,19</v>
      </c>
      <c r="AP21" s="48" t="str">
        <f>'[4]1201'!$L$18</f>
        <v>8.243.253,64</v>
      </c>
      <c r="AQ21" s="48" t="str">
        <f>'[5]1201'!$L$18</f>
        <v>13.725.649,99</v>
      </c>
      <c r="AR21" s="48" t="str">
        <f>'[6]1201'!$L$18</f>
        <v>1.217.668,55</v>
      </c>
      <c r="AS21" s="48" t="str">
        <f>'[7]1201'!$L$18</f>
        <v>668.024,95</v>
      </c>
      <c r="AT21" s="48" t="str">
        <f>'[8]1201'!$L$18</f>
        <v>0,00</v>
      </c>
      <c r="AU21" s="48" t="str">
        <f>'[9]1201'!$L$18</f>
        <v>0,00</v>
      </c>
      <c r="AV21" s="48" t="str">
        <f>'[10]1201'!$L$18</f>
        <v>0,00</v>
      </c>
      <c r="AW21" s="48" t="str">
        <f>'[11]1201'!$L$18</f>
        <v>0,00</v>
      </c>
      <c r="AX21" s="48" t="str">
        <f>'[12]1201'!$L$18</f>
        <v>2.567.409,52</v>
      </c>
      <c r="AY21" s="48" t="str">
        <f>'[13]1211'!$L$18</f>
        <v>0,00</v>
      </c>
      <c r="AZ21" s="48" t="str">
        <f>'[14]1211'!$L$18</f>
        <v>0,00</v>
      </c>
      <c r="BA21" s="48" t="str">
        <f>'[15]1211'!$L$18</f>
        <v>0,00</v>
      </c>
      <c r="BB21" s="48" t="str">
        <f>'[16]1211'!$L$18</f>
        <v>0,00</v>
      </c>
      <c r="BC21" s="48" t="str">
        <f>'[17]1211'!$L$18</f>
        <v>0,00</v>
      </c>
      <c r="BD21" s="48" t="str">
        <f>'[18]1211'!$L$18</f>
        <v>0,00</v>
      </c>
      <c r="BE21" s="48" t="str">
        <f>'[19]1291'!$L$19</f>
        <v>43.444.152,44</v>
      </c>
    </row>
    <row r="22" spans="1:57" s="36" customFormat="1" ht="18" customHeight="1">
      <c r="A22" s="35"/>
      <c r="B22" s="48"/>
      <c r="C22" s="39"/>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35"/>
      <c r="AD22" s="1" t="s">
        <v>129</v>
      </c>
      <c r="AE22" s="48">
        <f t="shared" si="7"/>
        <v>0</v>
      </c>
      <c r="AF22" s="39" t="str">
        <f t="shared" si="6"/>
        <v>--</v>
      </c>
      <c r="AG22" s="47"/>
      <c r="AH22" s="47"/>
      <c r="AI22" s="47"/>
      <c r="AJ22" s="47"/>
      <c r="AK22" s="47"/>
      <c r="AL22" s="47"/>
      <c r="AM22" s="48">
        <f>'[1]1201'!$L$19+'[1]1201'!$L$20</f>
        <v>0</v>
      </c>
      <c r="AN22" s="48">
        <f>'[2]1201'!$L$19+'[2]1201'!$L$20</f>
        <v>0</v>
      </c>
      <c r="AO22" s="48">
        <f>'[3]1201'!$L$19+'[3]1201'!$L$20</f>
        <v>0</v>
      </c>
      <c r="AP22" s="48">
        <f>'[4]1201'!$L$19+'[4]1201'!$L$20</f>
        <v>0</v>
      </c>
      <c r="AQ22" s="48">
        <f>'[5]1201'!$L$19+'[5]1201'!$L$20</f>
        <v>0</v>
      </c>
      <c r="AR22" s="48">
        <f>'[6]1201'!$L$19+'[6]1201'!$L$20</f>
        <v>0</v>
      </c>
      <c r="AS22" s="48">
        <f>'[7]1201'!$L$19+'[7]1201'!$L$20</f>
        <v>0</v>
      </c>
      <c r="AT22" s="48">
        <f>'[8]1201'!$L$19+'[8]1201'!$L$20</f>
        <v>0</v>
      </c>
      <c r="AU22" s="48">
        <f>'[9]1201'!$L$19+'[9]1201'!$L$20</f>
        <v>0</v>
      </c>
      <c r="AV22" s="48">
        <f>'[10]1201'!$L$19+'[10]1201'!$L$20</f>
        <v>0</v>
      </c>
      <c r="AW22" s="48">
        <f>'[11]1201'!$L$19+'[11]1201'!$L$20</f>
        <v>0</v>
      </c>
      <c r="AX22" s="48">
        <f>'[12]1201'!$L$19+'[12]1201'!$L$20</f>
        <v>0</v>
      </c>
      <c r="AY22" s="48">
        <f>'[13]1211'!$L$19+'[13]1211'!$L$20</f>
        <v>0</v>
      </c>
      <c r="AZ22" s="48">
        <f>'[14]1211'!$L$19+'[14]1211'!$L$20</f>
        <v>0</v>
      </c>
      <c r="BA22" s="48">
        <f>'[15]1211'!$L$19+'[15]1211'!$L$20</f>
        <v>0</v>
      </c>
      <c r="BB22" s="48">
        <f>'[16]1211'!$L$19+'[16]1211'!$L$20</f>
        <v>0</v>
      </c>
      <c r="BC22" s="48">
        <f>'[17]1211'!$L$19+'[17]1211'!$L$20</f>
        <v>0</v>
      </c>
      <c r="BD22" s="48">
        <f>'[18]1211'!$L$19+'[18]1211'!$L$20</f>
        <v>0</v>
      </c>
      <c r="BE22" s="48" t="str">
        <f>'[19]1291'!$L$20</f>
        <v>0,00</v>
      </c>
    </row>
    <row r="23" spans="1:57" s="36" customFormat="1" ht="18" customHeight="1">
      <c r="A23" s="35" t="s">
        <v>109</v>
      </c>
      <c r="B23" s="48">
        <f>+D23+E23+F23+G23+H23+I23+J23+K23+L23+M23+N23+O23+P23+Q23+R23+S23+T23+U23+V23+W23+X23+Y23+Z23+AA23+AB23</f>
        <v>914673647.5400001</v>
      </c>
      <c r="C23" s="39">
        <f>IF((B23/$B$58)=0,"--",B23/$B$58)</f>
        <v>0.548216009535465</v>
      </c>
      <c r="D23" s="48" t="str">
        <f>'[20]1120'!$D$4</f>
        <v>6.914.252,33</v>
      </c>
      <c r="E23" s="48" t="str">
        <f>'[21]1120'!$D$4</f>
        <v>6.370.841,47</v>
      </c>
      <c r="F23" s="48" t="str">
        <f>'[22]1100'!$D$18</f>
        <v>176.432.933,06</v>
      </c>
      <c r="G23" s="48" t="str">
        <f>'[23]1120'!$D$4</f>
        <v>138.548.717,44</v>
      </c>
      <c r="H23" s="48" t="str">
        <f>'[24]1100'!$D$5</f>
        <v>95.137.480,42</v>
      </c>
      <c r="I23" s="48" t="str">
        <f>'[25]1100'!$D$5</f>
        <v>21.316.276,59</v>
      </c>
      <c r="J23" s="48" t="str">
        <f>'[1]1201'!$D$17</f>
        <v>34.838.447,68</v>
      </c>
      <c r="K23" s="48" t="str">
        <f>'[2]1201'!$D$17</f>
        <v>296.563.815,47</v>
      </c>
      <c r="L23" s="48">
        <f>'[3]1201'!$D$17-0.01</f>
        <v>35531167.92</v>
      </c>
      <c r="M23" s="48" t="str">
        <f>'[4]1201'!$D$17</f>
        <v>2.097.381,99</v>
      </c>
      <c r="N23" s="48" t="str">
        <f>'[5]1201'!$D$17</f>
        <v>17.399.438,65</v>
      </c>
      <c r="O23" s="48" t="str">
        <f>'[6]1201'!$D$17</f>
        <v>154.562,28</v>
      </c>
      <c r="P23" s="48" t="str">
        <f>'[7]1201'!$D$17</f>
        <v>555.652,61</v>
      </c>
      <c r="Q23" s="48" t="str">
        <f>'[8]1201'!$D$17</f>
        <v>13.585.944,73</v>
      </c>
      <c r="R23" s="48" t="str">
        <f>'[9]1201'!$D$17</f>
        <v>1.437.698,58</v>
      </c>
      <c r="S23" s="48" t="str">
        <f>'[10]1201'!$D$17</f>
        <v>9.326.583,97</v>
      </c>
      <c r="T23" s="48" t="str">
        <f>'[11]1201'!$D$17</f>
        <v>286.935,20</v>
      </c>
      <c r="U23" s="48" t="str">
        <f>'[12]1201'!$D$17</f>
        <v>26.399.618,96</v>
      </c>
      <c r="V23" s="48" t="str">
        <f>'[13]1211'!$D$17</f>
        <v>0,00</v>
      </c>
      <c r="W23" s="48" t="str">
        <f>'[14]1211'!$D$17</f>
        <v>4.693,90</v>
      </c>
      <c r="X23" s="48" t="str">
        <f>'[15]1211'!$D$17</f>
        <v>12.824.107,80</v>
      </c>
      <c r="Y23" s="48" t="str">
        <f>'[16]1211'!$D$17</f>
        <v>63.154,89</v>
      </c>
      <c r="Z23" s="48">
        <f>'[17]1211'!$D$17-0.01</f>
        <v>474799.55</v>
      </c>
      <c r="AA23" s="48" t="str">
        <f>'[18]1211'!$D$17</f>
        <v>6.647,19</v>
      </c>
      <c r="AB23" s="48" t="str">
        <f>'[19]1291'!$D$9</f>
        <v>18.402.494,86</v>
      </c>
      <c r="AC23" s="35"/>
      <c r="AD23" s="1" t="s">
        <v>150</v>
      </c>
      <c r="AE23" s="48">
        <f t="shared" si="7"/>
        <v>0</v>
      </c>
      <c r="AF23" s="39" t="str">
        <f t="shared" si="6"/>
        <v>--</v>
      </c>
      <c r="AG23" s="47"/>
      <c r="AH23" s="47"/>
      <c r="AI23" s="47"/>
      <c r="AJ23" s="47"/>
      <c r="AK23" s="47"/>
      <c r="AL23" s="47"/>
      <c r="AM23" s="48"/>
      <c r="AN23" s="48"/>
      <c r="AO23" s="48"/>
      <c r="AP23" s="48"/>
      <c r="AQ23" s="48"/>
      <c r="AR23" s="48"/>
      <c r="AS23" s="48"/>
      <c r="AT23" s="48"/>
      <c r="AU23" s="48"/>
      <c r="AV23" s="48"/>
      <c r="AW23" s="48"/>
      <c r="AX23" s="48"/>
      <c r="AY23" s="48"/>
      <c r="AZ23" s="48"/>
      <c r="BA23" s="48"/>
      <c r="BB23" s="48"/>
      <c r="BC23" s="48"/>
      <c r="BD23" s="48"/>
      <c r="BE23" s="48">
        <f>'[19]1291'!$L$11+'[19]1291'!$L$12+'[19]1291'!$L$13</f>
        <v>0</v>
      </c>
    </row>
    <row r="24" spans="1:57" s="36" customFormat="1" ht="18" customHeight="1">
      <c r="A24" s="35"/>
      <c r="B24" s="48"/>
      <c r="C24" s="39"/>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35"/>
      <c r="AD24" s="1"/>
      <c r="AE24" s="48"/>
      <c r="AF24" s="39"/>
      <c r="AG24" s="47"/>
      <c r="AH24" s="47"/>
      <c r="AI24" s="47"/>
      <c r="AJ24" s="47"/>
      <c r="AK24" s="47"/>
      <c r="AL24" s="47"/>
      <c r="AM24" s="48"/>
      <c r="AN24" s="48"/>
      <c r="AO24" s="48"/>
      <c r="AP24" s="48"/>
      <c r="AQ24" s="48"/>
      <c r="AR24" s="48"/>
      <c r="AS24" s="48"/>
      <c r="AT24" s="48"/>
      <c r="AU24" s="48"/>
      <c r="AV24" s="48"/>
      <c r="AW24" s="48"/>
      <c r="AX24" s="48"/>
      <c r="AY24" s="48"/>
      <c r="AZ24" s="48"/>
      <c r="BA24" s="48"/>
      <c r="BB24" s="48"/>
      <c r="BC24" s="48"/>
      <c r="BD24" s="48"/>
      <c r="BE24" s="48"/>
    </row>
    <row r="25" spans="1:57" s="36" customFormat="1" ht="18" customHeight="1">
      <c r="A25" s="35" t="s">
        <v>110</v>
      </c>
      <c r="B25" s="48">
        <f>+D25+E25+F25+G25+H25+I25+J25+K25+L25+M25+N25+O25+P25+Q25+R25+S25+T25+U25+V25+W25+X25+Y25+Z25+AA25+AB25</f>
        <v>113211390.48</v>
      </c>
      <c r="C25" s="39">
        <f>IF((B25/$B$58)=0,"--",B25/$B$58)</f>
        <v>0.06785403393858329</v>
      </c>
      <c r="D25" s="48">
        <f>'[20]1120'!$D$17+'[20]1120'!$D$18+'[20]1120'!$D$19+'[20]1120'!$D$20+'[20]1120'!$D$21</f>
        <v>0</v>
      </c>
      <c r="E25" s="48">
        <f>'[21]1120'!$D$17+'[21]1120'!$D$18+'[21]1120'!$D$19+'[21]1120'!$D$20+'[21]1120'!$D$21</f>
        <v>0</v>
      </c>
      <c r="F25" s="48">
        <f>'[22]1100'!$D$24+'[22]1100'!$D$25</f>
        <v>62751.67</v>
      </c>
      <c r="G25" s="48">
        <f>'[23]1120'!$D$17+'[23]1120'!$D$18+'[23]1120'!$D$19+'[23]1120'!$D$20+'[23]1120'!$D$21</f>
        <v>34465.04</v>
      </c>
      <c r="H25" s="48">
        <f>'[24]1100'!$D$28+'[24]1100'!$D$35+'[24]1100'!$D$41</f>
        <v>30050.61</v>
      </c>
      <c r="I25" s="48">
        <f>'[25]1100'!$D$28+'[25]1100'!$D$35+'[25]1100'!$D$41</f>
        <v>0</v>
      </c>
      <c r="J25" s="48" t="str">
        <f>'[1]1201'!$D$25</f>
        <v>83.736,37</v>
      </c>
      <c r="K25" s="48">
        <f>'[2]1201'!$D$25-0.01</f>
        <v>141898.94999999998</v>
      </c>
      <c r="L25" s="48" t="str">
        <f>'[3]1201'!$D$25</f>
        <v>0,00</v>
      </c>
      <c r="M25" s="48" t="str">
        <f>'[4]1201'!$D$25</f>
        <v>11.028,57</v>
      </c>
      <c r="N25" s="48">
        <f>'[5]1201'!$D$25+0.01</f>
        <v>5355.030000000001</v>
      </c>
      <c r="O25" s="48">
        <f>'[6]1201'!$D$25+0.01</f>
        <v>30337636.59</v>
      </c>
      <c r="P25" s="48">
        <f>'[7]1201'!$D$25-0.01</f>
        <v>70900377.49</v>
      </c>
      <c r="Q25" s="48" t="str">
        <f>'[8]1201'!$D$25</f>
        <v>348.971,67</v>
      </c>
      <c r="R25" s="48" t="str">
        <f>'[9]1201'!$D$25</f>
        <v>181.518,69</v>
      </c>
      <c r="S25" s="48" t="str">
        <f>'[10]1201'!$D$25</f>
        <v>10.837.955,12</v>
      </c>
      <c r="T25" s="48" t="str">
        <f>'[11]1201'!$D$25</f>
        <v>118.044,79</v>
      </c>
      <c r="U25" s="48" t="str">
        <f>'[12]1201'!$D$25</f>
        <v>0,00</v>
      </c>
      <c r="V25" s="48" t="str">
        <f>'[13]1211'!$D$25</f>
        <v>0,00</v>
      </c>
      <c r="W25" s="48" t="str">
        <f>'[14]1211'!$D$25</f>
        <v>841,42</v>
      </c>
      <c r="X25" s="48" t="str">
        <f>'[15]1211'!$D$25</f>
        <v>0,00</v>
      </c>
      <c r="Y25" s="48" t="str">
        <f>'[16]1211'!$D$25</f>
        <v>19,23</v>
      </c>
      <c r="Z25" s="48" t="str">
        <f>'[17]1211'!$D$25</f>
        <v>0,00</v>
      </c>
      <c r="AA25" s="48" t="str">
        <f>'[18]1211'!$D$25</f>
        <v>0,00</v>
      </c>
      <c r="AB25" s="48" t="str">
        <f>'[19]1291'!$D$15</f>
        <v>116.739,24</v>
      </c>
      <c r="AC25" s="35"/>
      <c r="AD25" s="32" t="s">
        <v>130</v>
      </c>
      <c r="AE25" s="119">
        <f>+AG25+AH25+AI25+AJ25+AK25+AL25+AM25+AN25+AO25+AP25+AQ25+AR25+AS25+AT25+AU25+AV25+AW25+AX25+AY25+AZ25+BA25+BB25+BC25+BD25+BE25</f>
        <v>0</v>
      </c>
      <c r="AF25" s="34" t="str">
        <f>IF((AE25/$AE$58)=0,"--",AE25/$AE$58)</f>
        <v>--</v>
      </c>
      <c r="AG25" s="47"/>
      <c r="AH25" s="47"/>
      <c r="AI25" s="47"/>
      <c r="AJ25" s="47"/>
      <c r="AK25" s="47"/>
      <c r="AL25" s="47"/>
      <c r="AM25" s="48"/>
      <c r="AN25" s="48"/>
      <c r="AO25" s="48"/>
      <c r="AP25" s="48"/>
      <c r="AQ25" s="48"/>
      <c r="AR25" s="48"/>
      <c r="AS25" s="48"/>
      <c r="AT25" s="48"/>
      <c r="AU25" s="48"/>
      <c r="AV25" s="48"/>
      <c r="AW25" s="48"/>
      <c r="AX25" s="48"/>
      <c r="AY25" s="48"/>
      <c r="AZ25" s="48"/>
      <c r="BA25" s="48"/>
      <c r="BB25" s="48"/>
      <c r="BC25" s="48"/>
      <c r="BD25" s="48"/>
      <c r="BE25" s="48" t="str">
        <f>'[19]1291'!$L$21</f>
        <v>0,00</v>
      </c>
    </row>
    <row r="26" spans="1:57" s="36" customFormat="1" ht="18" customHeight="1">
      <c r="A26" s="35"/>
      <c r="B26" s="48"/>
      <c r="C26" s="39"/>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35"/>
      <c r="AD26" s="32"/>
      <c r="AE26" s="119"/>
      <c r="AF26" s="34"/>
      <c r="AG26" s="47"/>
      <c r="AH26" s="47"/>
      <c r="AI26" s="47"/>
      <c r="AJ26" s="47"/>
      <c r="AK26" s="47"/>
      <c r="AL26" s="47"/>
      <c r="AM26" s="48"/>
      <c r="AN26" s="48"/>
      <c r="AO26" s="48"/>
      <c r="AP26" s="48"/>
      <c r="AQ26" s="48"/>
      <c r="AR26" s="48"/>
      <c r="AS26" s="48"/>
      <c r="AT26" s="48"/>
      <c r="AU26" s="48"/>
      <c r="AV26" s="48"/>
      <c r="AW26" s="48"/>
      <c r="AX26" s="48"/>
      <c r="AY26" s="48"/>
      <c r="AZ26" s="48"/>
      <c r="BA26" s="48"/>
      <c r="BB26" s="48"/>
      <c r="BC26" s="48"/>
      <c r="BD26" s="48"/>
      <c r="BE26" s="48"/>
    </row>
    <row r="27" spans="1:57" s="36" customFormat="1" ht="18" customHeight="1">
      <c r="A27" s="35" t="s">
        <v>112</v>
      </c>
      <c r="B27" s="48">
        <f>+D27+E27+F27+G27+H27+I27+J27+K27+L27+M27+N27+O27+P27+Q27+R27+S27+T27+U27+V27+W27+X27+Y27+Z27+AA27+AB27</f>
        <v>1991429.57</v>
      </c>
      <c r="C27" s="39">
        <f>IF((B27/$B$58)=0,"--",B27/$B$58)</f>
        <v>0.0011935771573528184</v>
      </c>
      <c r="D27" s="48"/>
      <c r="E27" s="48"/>
      <c r="F27" s="48"/>
      <c r="G27" s="48"/>
      <c r="H27" s="48"/>
      <c r="I27" s="48"/>
      <c r="J27" s="48" t="str">
        <f>'[1]1201'!$D$36</f>
        <v>0,00</v>
      </c>
      <c r="K27" s="48" t="str">
        <f>'[2]1201'!$D$36</f>
        <v>0,00</v>
      </c>
      <c r="L27" s="48" t="str">
        <f>'[3]1201'!$D$36</f>
        <v>0,00</v>
      </c>
      <c r="M27" s="48" t="str">
        <f>'[4]1201'!$D$36</f>
        <v>0,00</v>
      </c>
      <c r="N27" s="48" t="str">
        <f>'[5]1201'!$D$36</f>
        <v>0,00</v>
      </c>
      <c r="O27" s="48" t="str">
        <f>'[6]1201'!$D$36</f>
        <v>0,00</v>
      </c>
      <c r="P27" s="48" t="str">
        <f>'[7]1201'!$D$36</f>
        <v>0,00</v>
      </c>
      <c r="Q27" s="48" t="str">
        <f>'[8]1201'!$D$36</f>
        <v>0,00</v>
      </c>
      <c r="R27" s="48" t="str">
        <f>'[9]1201'!$D$36</f>
        <v>0,00</v>
      </c>
      <c r="S27" s="48" t="str">
        <f>'[10]1201'!$D$36</f>
        <v>1.991.429,57</v>
      </c>
      <c r="T27" s="48" t="str">
        <f>'[11]1201'!$D$36</f>
        <v>0,00</v>
      </c>
      <c r="U27" s="48" t="str">
        <f>'[12]1201'!$D$36</f>
        <v>0,00</v>
      </c>
      <c r="V27" s="48" t="str">
        <f>'[13]1211'!$D$36</f>
        <v>0,00</v>
      </c>
      <c r="W27" s="48" t="str">
        <f>'[14]1211'!$D$36</f>
        <v>0,00</v>
      </c>
      <c r="X27" s="48" t="str">
        <f>'[15]1211'!$D$36</f>
        <v>0,00</v>
      </c>
      <c r="Y27" s="48" t="str">
        <f>'[16]1211'!$D$36</f>
        <v>0,00</v>
      </c>
      <c r="Z27" s="48" t="str">
        <f>'[17]1211'!$D$36</f>
        <v>0,00</v>
      </c>
      <c r="AA27" s="48" t="str">
        <f>'[18]1211'!$D$36</f>
        <v>0,00</v>
      </c>
      <c r="AB27" s="48" t="str">
        <f>'[19]1291'!$D$22</f>
        <v>0,00</v>
      </c>
      <c r="AC27" s="35"/>
      <c r="AD27" s="32" t="s">
        <v>131</v>
      </c>
      <c r="AE27" s="119">
        <f>+AG27+AH27+AI27+AJ27+AK27+AL27+AM27+AN27+AO27+AP27+AQ27+AR27+AS27+AT27+AU27+AV27+AW27+AX27+AY27+AZ27+BA27+BB27+BC27+BD27+BE27</f>
        <v>0</v>
      </c>
      <c r="AF27" s="34" t="str">
        <f>IF((AE27/$AE$58)=0,"--",AE27/$AE$58)</f>
        <v>--</v>
      </c>
      <c r="AG27" s="47"/>
      <c r="AH27" s="47"/>
      <c r="AI27" s="47"/>
      <c r="AJ27" s="47"/>
      <c r="AK27" s="47"/>
      <c r="AL27" s="47"/>
      <c r="AM27" s="48"/>
      <c r="AN27" s="48"/>
      <c r="AO27" s="48"/>
      <c r="AP27" s="48"/>
      <c r="AQ27" s="48"/>
      <c r="AR27" s="48"/>
      <c r="AS27" s="48"/>
      <c r="AT27" s="48"/>
      <c r="AU27" s="48"/>
      <c r="AV27" s="48"/>
      <c r="AW27" s="48"/>
      <c r="AX27" s="48"/>
      <c r="AY27" s="48"/>
      <c r="AZ27" s="48"/>
      <c r="BA27" s="48"/>
      <c r="BB27" s="48"/>
      <c r="BC27" s="48"/>
      <c r="BD27" s="48"/>
      <c r="BE27" s="48" t="str">
        <f>'[19]1291'!$L$22</f>
        <v>0,00</v>
      </c>
    </row>
    <row r="28" spans="1:57" s="36" customFormat="1" ht="18" customHeight="1">
      <c r="A28" s="35"/>
      <c r="B28" s="48"/>
      <c r="C28" s="39"/>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35"/>
      <c r="AD28" s="32"/>
      <c r="AE28" s="119"/>
      <c r="AF28" s="34"/>
      <c r="AG28" s="47"/>
      <c r="AH28" s="47"/>
      <c r="AI28" s="47"/>
      <c r="AJ28" s="47"/>
      <c r="AK28" s="47"/>
      <c r="AL28" s="47"/>
      <c r="AM28" s="48"/>
      <c r="AN28" s="48"/>
      <c r="AO28" s="48"/>
      <c r="AP28" s="48"/>
      <c r="AQ28" s="48"/>
      <c r="AR28" s="48"/>
      <c r="AS28" s="48"/>
      <c r="AT28" s="48"/>
      <c r="AU28" s="48"/>
      <c r="AV28" s="48"/>
      <c r="AW28" s="48"/>
      <c r="AX28" s="48"/>
      <c r="AY28" s="48"/>
      <c r="AZ28" s="48"/>
      <c r="BA28" s="48"/>
      <c r="BB28" s="48"/>
      <c r="BC28" s="48"/>
      <c r="BD28" s="48"/>
      <c r="BE28" s="48"/>
    </row>
    <row r="29" spans="1:57" s="36" customFormat="1" ht="18" customHeight="1">
      <c r="A29" s="35" t="s">
        <v>111</v>
      </c>
      <c r="B29" s="48">
        <f>+D29+E29+F29+G29+H29+I29+J29+K29+L29+M29+N29+O29+P29+Q29+R29+S29+T29+U29+V29+W29+X29+Y29+Z29+AA29+AB29</f>
        <v>0</v>
      </c>
      <c r="C29" s="39" t="str">
        <f>IF((B29/$B$58)=0,"--",B29/$B$58)</f>
        <v>--</v>
      </c>
      <c r="D29" s="48"/>
      <c r="E29" s="48"/>
      <c r="F29" s="48"/>
      <c r="G29" s="48"/>
      <c r="H29" s="48"/>
      <c r="I29" s="48"/>
      <c r="J29" s="48" t="str">
        <f>'[1]1201'!$D$35</f>
        <v>0,00</v>
      </c>
      <c r="K29" s="48" t="str">
        <f>'[2]1201'!$D$35</f>
        <v>0,00</v>
      </c>
      <c r="L29" s="48" t="str">
        <f>'[3]1201'!$D$35</f>
        <v>0,00</v>
      </c>
      <c r="M29" s="48" t="str">
        <f>'[4]1201'!$D$35</f>
        <v>0,00</v>
      </c>
      <c r="N29" s="48" t="str">
        <f>'[5]1201'!$D$35</f>
        <v>0,00</v>
      </c>
      <c r="O29" s="48" t="str">
        <f>'[6]1201'!$D$35</f>
        <v>0,00</v>
      </c>
      <c r="P29" s="48" t="str">
        <f>'[7]1201'!$D$35</f>
        <v>0,00</v>
      </c>
      <c r="Q29" s="48" t="str">
        <f>'[8]1201'!$D$35</f>
        <v>0,00</v>
      </c>
      <c r="R29" s="48" t="str">
        <f>'[9]1201'!$D$35</f>
        <v>0,00</v>
      </c>
      <c r="S29" s="48" t="str">
        <f>'[10]1201'!$D$35</f>
        <v>0,00</v>
      </c>
      <c r="T29" s="48" t="str">
        <f>'[11]1201'!$D$35</f>
        <v>0,00</v>
      </c>
      <c r="U29" s="48" t="str">
        <f>'[12]1201'!$D$35</f>
        <v>0,00</v>
      </c>
      <c r="V29" s="48" t="str">
        <f>'[13]1211'!$D$35</f>
        <v>0,00</v>
      </c>
      <c r="W29" s="48" t="str">
        <f>'[14]1211'!$D$35</f>
        <v>0,00</v>
      </c>
      <c r="X29" s="48" t="str">
        <f>'[15]1211'!$D$35</f>
        <v>0,00</v>
      </c>
      <c r="Y29" s="48" t="str">
        <f>'[16]1211'!$D$35</f>
        <v>0,00</v>
      </c>
      <c r="Z29" s="48" t="str">
        <f>'[17]1211'!$D$35</f>
        <v>0,00</v>
      </c>
      <c r="AA29" s="48" t="str">
        <f>'[18]1211'!$D$35</f>
        <v>0,00</v>
      </c>
      <c r="AB29" s="48" t="str">
        <f>'[19]1291'!$D$21</f>
        <v>0,00</v>
      </c>
      <c r="AC29" s="35"/>
      <c r="AD29" s="32" t="s">
        <v>132</v>
      </c>
      <c r="AE29" s="119">
        <f>+AG29+AH29+AI29+AJ29+AK29+AL29+AM29+AN29+AO29+AP29+AQ29+AR29+AS29+AT29+AU29+AV29+AW29+AX29+AY29+AZ29+BA29+BB29+BC29+BD29+BE29</f>
        <v>373393658.5199999</v>
      </c>
      <c r="AF29" s="34">
        <f>IF((AE29/$AE$58)=0,"--",AE29/$AE$58)</f>
        <v>0.22379608509572868</v>
      </c>
      <c r="AG29" s="47" t="str">
        <f>'[20]1120'!$L$9</f>
        <v>0,00</v>
      </c>
      <c r="AH29" s="47" t="str">
        <f>'[21]1120'!$L$9</f>
        <v>4.551.738,95</v>
      </c>
      <c r="AI29" s="47" t="str">
        <f>'[22]1100'!$L$16</f>
        <v>0,00</v>
      </c>
      <c r="AJ29" s="47" t="str">
        <f>'[23]1120'!$L$9</f>
        <v>84.478.702,14</v>
      </c>
      <c r="AK29" s="47"/>
      <c r="AL29" s="47"/>
      <c r="AM29" s="48" t="str">
        <f>'[1]1201'!$L$21</f>
        <v>36.980.330,82</v>
      </c>
      <c r="AN29" s="48" t="str">
        <f>'[2]1201'!$L$21</f>
        <v>167.442.471,12</v>
      </c>
      <c r="AO29" s="48" t="str">
        <f>'[3]1201'!$L$21</f>
        <v>34.264.255,45</v>
      </c>
      <c r="AP29" s="48" t="str">
        <f>'[4]1201'!$L$21</f>
        <v>1.951.498,32</v>
      </c>
      <c r="AQ29" s="48">
        <f>'[5]1201'!$L$21+0.01</f>
        <v>15988731.03</v>
      </c>
      <c r="AR29" s="48">
        <f>'[6]1201'!$L$21+0.01</f>
        <v>62829.82</v>
      </c>
      <c r="AS29" s="48">
        <f>'[7]1201'!$L$21-0.01</f>
        <v>772446.72</v>
      </c>
      <c r="AT29" s="48" t="str">
        <f>'[8]1201'!$L$21</f>
        <v>632.679,43</v>
      </c>
      <c r="AU29" s="48" t="str">
        <f>'[9]1201'!$L$21</f>
        <v>306.847,34</v>
      </c>
      <c r="AV29" s="48" t="str">
        <f>'[10]1201'!$L$21</f>
        <v>9.410.202,78</v>
      </c>
      <c r="AW29" s="48" t="str">
        <f>'[11]1201'!$L$21</f>
        <v>164.935,75</v>
      </c>
      <c r="AX29" s="48">
        <f>'[12]1201'!$L$21-0.01</f>
        <v>10442218.69</v>
      </c>
      <c r="AY29" s="48" t="str">
        <f>'[13]1211'!$L$21</f>
        <v>0,00</v>
      </c>
      <c r="AZ29" s="48" t="str">
        <f>'[14]1211'!$L$21</f>
        <v>316.583,13</v>
      </c>
      <c r="BA29" s="48" t="str">
        <f>'[15]1211'!$L$21</f>
        <v>0,00</v>
      </c>
      <c r="BB29" s="48" t="str">
        <f>'[16]1211'!$L$21</f>
        <v>36.779,29</v>
      </c>
      <c r="BC29" s="48" t="str">
        <f>'[17]1211'!$L$21</f>
        <v>0,00</v>
      </c>
      <c r="BD29" s="48" t="str">
        <f>'[18]1211'!$L$21</f>
        <v>0,00</v>
      </c>
      <c r="BE29" s="48" t="str">
        <f>'[19]1291'!$L$25</f>
        <v>5.590.407,74</v>
      </c>
    </row>
    <row r="30" spans="1:57" s="36" customFormat="1" ht="18" customHeight="1">
      <c r="A30" s="35"/>
      <c r="B30" s="48"/>
      <c r="C30" s="39"/>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35"/>
      <c r="AD30" s="32"/>
      <c r="AE30" s="119"/>
      <c r="AF30" s="34"/>
      <c r="AG30" s="47"/>
      <c r="AH30" s="47"/>
      <c r="AI30" s="47"/>
      <c r="AJ30" s="47"/>
      <c r="AK30" s="47"/>
      <c r="AL30" s="47"/>
      <c r="AM30" s="48"/>
      <c r="AN30" s="48"/>
      <c r="AO30" s="48"/>
      <c r="AP30" s="48"/>
      <c r="AQ30" s="48"/>
      <c r="AR30" s="48"/>
      <c r="AS30" s="48"/>
      <c r="AT30" s="48"/>
      <c r="AU30" s="48"/>
      <c r="AV30" s="48"/>
      <c r="AW30" s="48"/>
      <c r="AX30" s="48"/>
      <c r="AY30" s="48"/>
      <c r="AZ30" s="48"/>
      <c r="BA30" s="48"/>
      <c r="BB30" s="48"/>
      <c r="BC30" s="48"/>
      <c r="BD30" s="48"/>
      <c r="BE30" s="48"/>
    </row>
    <row r="31" spans="1:57" s="36" customFormat="1" ht="18" customHeight="1">
      <c r="A31" s="33" t="s">
        <v>113</v>
      </c>
      <c r="B31" s="119">
        <f>+D31+E31+F31+G31+H31+I31+J31+K31+L31+M31+N31+O31+P31+Q31+R31+S31+T31+U31+V31+W31+X31+Y31+Z31+AA31+AB31</f>
        <v>0</v>
      </c>
      <c r="C31" s="34" t="str">
        <f>IF((B31/$B$58)=0,"--",B31/$B$58)</f>
        <v>--</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t="str">
        <f>'[19]1291'!$D$23</f>
        <v>0,00</v>
      </c>
      <c r="AC31" s="35"/>
      <c r="AD31" s="32" t="s">
        <v>133</v>
      </c>
      <c r="AE31" s="119">
        <f>+AG31+AH31+AI31+AJ31+AK31+AL31+AM31+AN31+AO31+AP31+AQ31+AR31+AS31+AT31+AU31+AV31+AW31+AX31+AY31+AZ31+BA31+BB31+BC31+BD31+BE31</f>
        <v>9363169.34</v>
      </c>
      <c r="AF31" s="34">
        <f>IF((AE31/$AE$58)=0,"--",AE31/$AE$58)</f>
        <v>0.005611880637410773</v>
      </c>
      <c r="AG31" s="47"/>
      <c r="AH31" s="47"/>
      <c r="AI31" s="47" t="str">
        <f>'[22]1100'!$L$17</f>
        <v>0,00</v>
      </c>
      <c r="AJ31" s="47"/>
      <c r="AK31" s="47"/>
      <c r="AL31" s="47"/>
      <c r="AM31" s="48" t="str">
        <f>'[1]1201'!$L$26</f>
        <v>465.360,94</v>
      </c>
      <c r="AN31" s="48" t="str">
        <f>'[2]1201'!$L$26</f>
        <v>6.091.047,32</v>
      </c>
      <c r="AO31" s="48" t="str">
        <f>'[3]1201'!$L$26</f>
        <v>0,00</v>
      </c>
      <c r="AP31" s="48" t="str">
        <f>'[4]1201'!$L$26</f>
        <v>2.999,05</v>
      </c>
      <c r="AQ31" s="48" t="str">
        <f>'[5]1201'!$L$26</f>
        <v>0,00</v>
      </c>
      <c r="AR31" s="48" t="str">
        <f>'[6]1201'!$L$26</f>
        <v>0,00</v>
      </c>
      <c r="AS31" s="48" t="str">
        <f>'[7]1201'!$L$26</f>
        <v>0,00</v>
      </c>
      <c r="AT31" s="48" t="str">
        <f>'[8]1201'!$L$26</f>
        <v>1.326.415,68</v>
      </c>
      <c r="AU31" s="48" t="str">
        <f>'[9]1201'!$L$26</f>
        <v>0,00</v>
      </c>
      <c r="AV31" s="48" t="str">
        <f>'[10]1201'!$L$26</f>
        <v>0,00</v>
      </c>
      <c r="AW31" s="48" t="str">
        <f>'[11]1201'!$L$26</f>
        <v>0,00</v>
      </c>
      <c r="AX31" s="48" t="str">
        <f>'[12]1201'!$L$26</f>
        <v>0,00</v>
      </c>
      <c r="AY31" s="48" t="str">
        <f>'[13]1211'!$L$26</f>
        <v>0,00</v>
      </c>
      <c r="AZ31" s="48" t="str">
        <f>'[14]1211'!$L$26</f>
        <v>0,00</v>
      </c>
      <c r="BA31" s="48" t="str">
        <f>'[15]1211'!$L$26</f>
        <v>130.642,00</v>
      </c>
      <c r="BB31" s="48" t="str">
        <f>'[16]1211'!$L$26</f>
        <v>0,00</v>
      </c>
      <c r="BC31" s="48" t="str">
        <f>'[17]1211'!$L$26</f>
        <v>0,00</v>
      </c>
      <c r="BD31" s="48" t="str">
        <f>'[18]1211'!$L$26</f>
        <v>0,00</v>
      </c>
      <c r="BE31" s="48" t="str">
        <f>'[19]1291'!$L$28</f>
        <v>1.346.704,35</v>
      </c>
    </row>
    <row r="32" spans="1:57" s="36" customFormat="1" ht="18" customHeight="1">
      <c r="A32" s="35"/>
      <c r="B32" s="48"/>
      <c r="C32" s="39"/>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35"/>
      <c r="AD32" s="32"/>
      <c r="AE32" s="119"/>
      <c r="AF32" s="34"/>
      <c r="AG32" s="47"/>
      <c r="AH32" s="47"/>
      <c r="AI32" s="47"/>
      <c r="AJ32" s="47"/>
      <c r="AK32" s="47"/>
      <c r="AL32" s="47"/>
      <c r="AM32" s="48"/>
      <c r="AN32" s="48"/>
      <c r="AO32" s="48"/>
      <c r="AP32" s="48"/>
      <c r="AQ32" s="48"/>
      <c r="AR32" s="48"/>
      <c r="AS32" s="48"/>
      <c r="AT32" s="48"/>
      <c r="AU32" s="48"/>
      <c r="AV32" s="48"/>
      <c r="AW32" s="48"/>
      <c r="AX32" s="48"/>
      <c r="AY32" s="48"/>
      <c r="AZ32" s="48"/>
      <c r="BA32" s="48"/>
      <c r="BB32" s="48"/>
      <c r="BC32" s="48"/>
      <c r="BD32" s="48"/>
      <c r="BE32" s="48"/>
    </row>
    <row r="33" spans="1:57" s="36" customFormat="1" ht="18" customHeight="1">
      <c r="A33" s="33" t="s">
        <v>114</v>
      </c>
      <c r="B33" s="119">
        <f>+D33+E33+F33+G33+H33+I33+J33+K33+L33+M33+N33+O33+P33+Q33+R33+S33+T33+U33+V33+W33+X33+Y33+Z33+AA33+AB33</f>
        <v>6320249.43</v>
      </c>
      <c r="C33" s="34">
        <f>IF((B33/$B$58)=0,"--",B33/$B$58)</f>
        <v>0.0037880854347362987</v>
      </c>
      <c r="D33" s="48">
        <f>'[20]1120'!$D$22+'[20]1120'!$D$23</f>
        <v>0</v>
      </c>
      <c r="E33" s="48">
        <f>'[21]1120'!$D$22+'[21]1120'!$D$23</f>
        <v>0</v>
      </c>
      <c r="F33" s="48" t="str">
        <f>'[22]1100'!$D$30</f>
        <v>0,00</v>
      </c>
      <c r="G33" s="48">
        <f>'[23]1120'!$D$22+'[23]1120'!$D$23</f>
        <v>0</v>
      </c>
      <c r="H33" s="48" t="str">
        <f>'[24]1100'!$D$42</f>
        <v>0,00</v>
      </c>
      <c r="I33" s="48" t="str">
        <f>'[25]1100'!$D$42</f>
        <v>12.263,55</v>
      </c>
      <c r="J33" s="48" t="str">
        <f>'[1]1201'!$D$37</f>
        <v>0,00</v>
      </c>
      <c r="K33" s="48">
        <f>'[2]1201'!$D$37-0.01</f>
        <v>5846140.890000001</v>
      </c>
      <c r="L33" s="48" t="str">
        <f>'[3]1201'!$D$37</f>
        <v>0,00</v>
      </c>
      <c r="M33" s="48" t="str">
        <f>'[4]1201'!$D$37</f>
        <v>0,00</v>
      </c>
      <c r="N33" s="48" t="str">
        <f>'[5]1201'!$D$37</f>
        <v>0,00</v>
      </c>
      <c r="O33" s="48" t="str">
        <f>'[6]1201'!$D$37</f>
        <v>0,00</v>
      </c>
      <c r="P33" s="48" t="str">
        <f>'[7]1201'!$D$37</f>
        <v>0,00</v>
      </c>
      <c r="Q33" s="48" t="str">
        <f>'[8]1201'!$D$37</f>
        <v>0,00</v>
      </c>
      <c r="R33" s="48" t="str">
        <f>'[9]1201'!$D$37</f>
        <v>5.398,97</v>
      </c>
      <c r="S33" s="48" t="str">
        <f>'[10]1201'!$D$37</f>
        <v>390.153,02</v>
      </c>
      <c r="T33" s="48" t="str">
        <f>'[11]1201'!$D$37</f>
        <v>0,00</v>
      </c>
      <c r="U33" s="48" t="str">
        <f>'[12]1201'!$D$37</f>
        <v>18,03</v>
      </c>
      <c r="V33" s="48" t="str">
        <f>'[13]1211'!$D$37</f>
        <v>0,00</v>
      </c>
      <c r="W33" s="48" t="str">
        <f>'[14]1211'!$D$37</f>
        <v>0,00</v>
      </c>
      <c r="X33" s="48" t="str">
        <f>'[15]1211'!$D$37</f>
        <v>36.409,31</v>
      </c>
      <c r="Y33" s="48" t="str">
        <f>'[16]1211'!$D$37</f>
        <v>0,00</v>
      </c>
      <c r="Z33" s="48" t="str">
        <f>'[17]1211'!$D$37</f>
        <v>0,00</v>
      </c>
      <c r="AA33" s="48" t="str">
        <f>'[18]1211'!$D$37</f>
        <v>0,00</v>
      </c>
      <c r="AB33" s="48" t="str">
        <f>'[19]1291'!$D$26</f>
        <v>29.865,66</v>
      </c>
      <c r="AC33" s="35"/>
      <c r="AD33" s="32" t="s">
        <v>134</v>
      </c>
      <c r="AE33" s="119">
        <f>+AG33+AH33+AI33+AJ33+AK33+AL33+AM33+AN33+AO33+AP33+AQ33+AR33+AS33+AT33+AU33+AV33+AW33+AX33+AY33+AZ33+BA33+BB33+BC33+BD33+BE33</f>
        <v>238714980.06000003</v>
      </c>
      <c r="AF33" s="34">
        <f>IF((AE33/$AE$58)=0,"--",AE33/$AE$58)</f>
        <v>0.14307548286407612</v>
      </c>
      <c r="AG33" s="47">
        <f aca="true" t="shared" si="8" ref="AG33:AK33">AG35+AG36+AG37+AG38+AG39+AG40+AG41</f>
        <v>0</v>
      </c>
      <c r="AH33" s="47">
        <f t="shared" si="8"/>
        <v>0</v>
      </c>
      <c r="AI33" s="47">
        <f aca="true" t="shared" si="9" ref="AI33:AJ33">AI35+AI36+AI37+AI38+AI39+AI40+AI41</f>
        <v>0</v>
      </c>
      <c r="AJ33" s="47">
        <f t="shared" si="9"/>
        <v>13949924.18</v>
      </c>
      <c r="AK33" s="47">
        <f t="shared" si="8"/>
        <v>1261163.2</v>
      </c>
      <c r="AL33" s="47">
        <f aca="true" t="shared" si="10" ref="AL33">AL35+AL36+AL37+AL38+AL39+AL40+AL41</f>
        <v>90924.04</v>
      </c>
      <c r="AM33" s="48" t="str">
        <f>'[1]1201'!$L$31</f>
        <v>9.389,01</v>
      </c>
      <c r="AN33" s="48" t="str">
        <f>'[2]1201'!$L$31</f>
        <v>111.328.939,93</v>
      </c>
      <c r="AO33" s="48" t="str">
        <f>'[3]1201'!$L$31</f>
        <v>240,40</v>
      </c>
      <c r="AP33" s="48" t="str">
        <f>'[4]1201'!$L$31</f>
        <v>4.495,57</v>
      </c>
      <c r="AQ33" s="48" t="str">
        <f>'[5]1201'!$L$31</f>
        <v>12.621,25</v>
      </c>
      <c r="AR33" s="48" t="str">
        <f>'[6]1201'!$L$31</f>
        <v>33.523.253,16</v>
      </c>
      <c r="AS33" s="48" t="str">
        <f>'[7]1201'!$L$31</f>
        <v>3.155.313,55</v>
      </c>
      <c r="AT33" s="48" t="str">
        <f>'[8]1201'!$L$31</f>
        <v>7.617.047,11</v>
      </c>
      <c r="AU33" s="48" t="str">
        <f>'[9]1201'!$L$31</f>
        <v>0,00</v>
      </c>
      <c r="AV33" s="48" t="str">
        <f>'[10]1201'!$L$31</f>
        <v>54.697.889,25</v>
      </c>
      <c r="AW33" s="48" t="str">
        <f>'[11]1201'!$L$31</f>
        <v>0,00</v>
      </c>
      <c r="AX33" s="48" t="str">
        <f>'[12]1201'!$L$31</f>
        <v>0,00</v>
      </c>
      <c r="AY33" s="48" t="str">
        <f>'[13]1211'!$L$31</f>
        <v>0,00</v>
      </c>
      <c r="AZ33" s="48" t="str">
        <f>'[14]1211'!$L$31</f>
        <v>12.020.242,09</v>
      </c>
      <c r="BA33" s="48" t="str">
        <f>'[15]1211'!$L$31</f>
        <v>1.043.537,32</v>
      </c>
      <c r="BB33" s="48" t="str">
        <f>'[16]1211'!$L$31</f>
        <v>0,00</v>
      </c>
      <c r="BC33" s="48" t="str">
        <f>'[17]1211'!$L$31</f>
        <v>0,00</v>
      </c>
      <c r="BD33" s="48" t="str">
        <f>'[18]1211'!$L$31</f>
        <v>0,00</v>
      </c>
      <c r="BE33" s="48" t="str">
        <f>'[19]1291'!$L$29</f>
        <v>0,00</v>
      </c>
    </row>
    <row r="34" spans="1:57" s="36" customFormat="1" ht="18" customHeight="1">
      <c r="A34" s="35"/>
      <c r="B34" s="48"/>
      <c r="C34" s="39"/>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35"/>
      <c r="AD34" s="4"/>
      <c r="AE34" s="120"/>
      <c r="AF34" s="38"/>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row>
    <row r="35" spans="1:57" s="36" customFormat="1" ht="18" customHeight="1">
      <c r="A35" s="35"/>
      <c r="B35" s="48"/>
      <c r="C35" s="39"/>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35"/>
      <c r="AD35" s="1" t="s">
        <v>135</v>
      </c>
      <c r="AE35" s="48">
        <f aca="true" t="shared" si="11" ref="AE35:AE41">+AG35+AH35+AI35+AJ35+AK35+AL35+AM35+AN35+AO35+AP35+AQ35+AR35+AS35+AT35+AU35+AV35+AW35+AX35+AY35+AZ35+BA35+BB35+BC35+BD35+BE35</f>
        <v>0</v>
      </c>
      <c r="AF35" s="39" t="str">
        <f aca="true" t="shared" si="12" ref="AF35:AF40">IF((AE35/$AE$58)=0,"--",AE35/$AE$58)</f>
        <v>--</v>
      </c>
      <c r="AG35" s="47" t="str">
        <f>'[20]1120'!$L$11</f>
        <v>0,00</v>
      </c>
      <c r="AH35" s="47" t="str">
        <f>'[21]1120'!$L$11</f>
        <v>0,00</v>
      </c>
      <c r="AI35" s="47" t="str">
        <f>'[22]1100'!$L$19</f>
        <v>0,00</v>
      </c>
      <c r="AJ35" s="47" t="str">
        <f>'[23]1120'!$L$11</f>
        <v>0,00</v>
      </c>
      <c r="AK35" s="47" t="str">
        <f>'[24]1100'!$L$20</f>
        <v>0,00</v>
      </c>
      <c r="AL35" s="47" t="str">
        <f>'[25]1100'!$L$20</f>
        <v>0,00</v>
      </c>
      <c r="AM35" s="48" t="str">
        <f>'[1]1201'!$L$32</f>
        <v>0,00</v>
      </c>
      <c r="AN35" s="48" t="str">
        <f>'[2]1201'!$L$32</f>
        <v>0,00</v>
      </c>
      <c r="AO35" s="48" t="str">
        <f>'[3]1201'!$L$32</f>
        <v>0,00</v>
      </c>
      <c r="AP35" s="48" t="str">
        <f>'[4]1201'!$L$32</f>
        <v>0,00</v>
      </c>
      <c r="AQ35" s="48" t="str">
        <f>'[5]1201'!$L$32</f>
        <v>0,00</v>
      </c>
      <c r="AR35" s="48" t="str">
        <f>'[6]1201'!$L$32</f>
        <v>0,00</v>
      </c>
      <c r="AS35" s="48" t="str">
        <f>'[7]1201'!$L$32</f>
        <v>0,00</v>
      </c>
      <c r="AT35" s="48" t="str">
        <f>'[8]1201'!$L$32</f>
        <v>0,00</v>
      </c>
      <c r="AU35" s="48" t="str">
        <f>'[9]1201'!$L$32</f>
        <v>0,00</v>
      </c>
      <c r="AV35" s="48" t="str">
        <f>'[10]1201'!$L$32</f>
        <v>0,00</v>
      </c>
      <c r="AW35" s="48" t="str">
        <f>'[11]1201'!$L$32</f>
        <v>0,00</v>
      </c>
      <c r="AX35" s="48" t="str">
        <f>'[12]1201'!$L$32</f>
        <v>0,00</v>
      </c>
      <c r="AY35" s="48"/>
      <c r="AZ35" s="48"/>
      <c r="BA35" s="48"/>
      <c r="BB35" s="48" t="str">
        <f>'[16]1211'!$L$32</f>
        <v>0,00</v>
      </c>
      <c r="BC35" s="48"/>
      <c r="BD35" s="48"/>
      <c r="BE35" s="48" t="str">
        <f>'[19]1291'!$L$30</f>
        <v>0,00</v>
      </c>
    </row>
    <row r="36" spans="1:57" s="36" customFormat="1" ht="18" customHeight="1">
      <c r="A36" s="35"/>
      <c r="B36" s="48"/>
      <c r="C36" s="39"/>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35"/>
      <c r="AD36" s="1" t="s">
        <v>136</v>
      </c>
      <c r="AE36" s="48">
        <f t="shared" si="11"/>
        <v>209911317.49</v>
      </c>
      <c r="AF36" s="39">
        <f t="shared" si="12"/>
        <v>0.1258118074574433</v>
      </c>
      <c r="AG36" s="47" t="str">
        <f>'[20]1120'!$L$12</f>
        <v>0,00</v>
      </c>
      <c r="AH36" s="47" t="str">
        <f>'[21]1120'!$L$12</f>
        <v>0,00</v>
      </c>
      <c r="AI36" s="47" t="str">
        <f>'[22]1100'!$L$25</f>
        <v>0,00</v>
      </c>
      <c r="AJ36" s="47" t="str">
        <f>'[23]1120'!$L$12</f>
        <v>13.949.924,18</v>
      </c>
      <c r="AK36" s="47">
        <f>'[24]1100'!$L$26+'[24]1100'!$L$27</f>
        <v>1261163.2</v>
      </c>
      <c r="AL36" s="47">
        <f>'[25]1100'!$L$26+'[25]1100'!$L$27</f>
        <v>90924.04</v>
      </c>
      <c r="AM36" s="48" t="str">
        <f>'[1]1201'!$L$36</f>
        <v>0,00</v>
      </c>
      <c r="AN36" s="48">
        <f>'[2]1201'!$L$36-0.01</f>
        <v>100150439.33</v>
      </c>
      <c r="AO36" s="48" t="str">
        <f>'[3]1201'!$L$36</f>
        <v>0,00</v>
      </c>
      <c r="AP36" s="48" t="str">
        <f>'[4]1201'!$L$36</f>
        <v>0,00</v>
      </c>
      <c r="AQ36" s="48" t="str">
        <f>'[5]1201'!$L$36</f>
        <v>0,00</v>
      </c>
      <c r="AR36" s="48" t="str">
        <f>'[6]1201'!$L$36</f>
        <v>33.523.253,16</v>
      </c>
      <c r="AS36" s="48" t="str">
        <f>'[7]1201'!$L$36</f>
        <v>0,00</v>
      </c>
      <c r="AT36" s="48" t="str">
        <f>'[8]1201'!$L$36</f>
        <v>7.617.047,11</v>
      </c>
      <c r="AU36" s="48" t="str">
        <f>'[9]1201'!$L$36</f>
        <v>0,00</v>
      </c>
      <c r="AV36" s="48" t="str">
        <f>'[10]1201'!$L$36</f>
        <v>53.318.566,47</v>
      </c>
      <c r="AW36" s="48" t="str">
        <f>'[11]1201'!$L$36</f>
        <v>0,00</v>
      </c>
      <c r="AX36" s="48" t="str">
        <f>'[12]1201'!$L$36</f>
        <v>0,00</v>
      </c>
      <c r="AY36" s="48"/>
      <c r="AZ36" s="48"/>
      <c r="BA36" s="48"/>
      <c r="BB36" s="48" t="str">
        <f>'[16]1211'!$L$36</f>
        <v>0,00</v>
      </c>
      <c r="BC36" s="48"/>
      <c r="BD36" s="48"/>
      <c r="BE36" s="48" t="str">
        <f>'[19]1291'!$L$31</f>
        <v>0,00</v>
      </c>
    </row>
    <row r="37" spans="1:57" s="36" customFormat="1" ht="18" customHeight="1">
      <c r="A37" s="35"/>
      <c r="B37" s="48"/>
      <c r="C37" s="39"/>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35"/>
      <c r="AD37" s="1" t="s">
        <v>149</v>
      </c>
      <c r="AE37" s="48">
        <f t="shared" si="11"/>
        <v>0</v>
      </c>
      <c r="AF37" s="39" t="str">
        <f t="shared" si="12"/>
        <v>--</v>
      </c>
      <c r="AG37" s="47"/>
      <c r="AH37" s="47"/>
      <c r="AI37" s="47"/>
      <c r="AJ37" s="47"/>
      <c r="AK37" s="47"/>
      <c r="AL37" s="47"/>
      <c r="AM37" s="48" t="str">
        <f>'[1]1201'!$L$39</f>
        <v>0,00</v>
      </c>
      <c r="AN37" s="48" t="str">
        <f>'[2]1201'!$L$39</f>
        <v>0,00</v>
      </c>
      <c r="AO37" s="48" t="str">
        <f>'[3]1201'!$L$39</f>
        <v>0,00</v>
      </c>
      <c r="AP37" s="48" t="str">
        <f>'[4]1201'!$L$39</f>
        <v>0,00</v>
      </c>
      <c r="AQ37" s="48" t="str">
        <f>'[5]1201'!$L$39</f>
        <v>0,00</v>
      </c>
      <c r="AR37" s="48" t="str">
        <f>'[6]1201'!$L$39</f>
        <v>0,00</v>
      </c>
      <c r="AS37" s="48" t="str">
        <f>'[7]1201'!$L$39</f>
        <v>0,00</v>
      </c>
      <c r="AT37" s="48" t="str">
        <f>'[8]1201'!$L$39</f>
        <v>0,00</v>
      </c>
      <c r="AU37" s="48" t="str">
        <f>'[9]1201'!$L$39</f>
        <v>0,00</v>
      </c>
      <c r="AV37" s="48" t="str">
        <f>'[10]1201'!$L$39</f>
        <v>0,00</v>
      </c>
      <c r="AW37" s="48" t="str">
        <f>'[11]1201'!$L$39</f>
        <v>0,00</v>
      </c>
      <c r="AX37" s="48" t="str">
        <f>'[12]1201'!$L$39</f>
        <v>0,00</v>
      </c>
      <c r="AY37" s="48"/>
      <c r="AZ37" s="48"/>
      <c r="BA37" s="48"/>
      <c r="BB37" s="48" t="str">
        <f>'[16]1211'!$L$39</f>
        <v>0,00</v>
      </c>
      <c r="BC37" s="48"/>
      <c r="BD37" s="48"/>
      <c r="BE37" s="48" t="str">
        <f>'[19]1291'!$L$32</f>
        <v>0,00</v>
      </c>
    </row>
    <row r="38" spans="1:57" s="36" customFormat="1" ht="18" customHeight="1">
      <c r="A38" s="35"/>
      <c r="B38" s="48"/>
      <c r="C38" s="39"/>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35"/>
      <c r="AD38" s="1" t="s">
        <v>137</v>
      </c>
      <c r="AE38" s="48">
        <f t="shared" si="11"/>
        <v>11205246.83</v>
      </c>
      <c r="AF38" s="39">
        <f t="shared" si="12"/>
        <v>0.00671594258730831</v>
      </c>
      <c r="AG38" s="47" t="str">
        <f>+'[20]1120'!$L$13</f>
        <v>0,00</v>
      </c>
      <c r="AH38" s="47" t="str">
        <f>+'[21]1120'!$L$13</f>
        <v>0,00</v>
      </c>
      <c r="AI38" s="47">
        <f>'[22]1100'!$L$26+'[22]1100'!$L$27+'[22]1100'!$L$28</f>
        <v>0</v>
      </c>
      <c r="AJ38" s="47" t="str">
        <f>+'[23]1120'!$L$13</f>
        <v>0,00</v>
      </c>
      <c r="AK38" s="47">
        <f>'[24]1100'!$L$30+'[24]1100'!$L$31</f>
        <v>0</v>
      </c>
      <c r="AL38" s="47">
        <f>'[25]1100'!$L$30+'[25]1100'!$L$31</f>
        <v>0</v>
      </c>
      <c r="AM38" s="48" t="str">
        <f>'[1]1201'!$L$42</f>
        <v>9.389,01</v>
      </c>
      <c r="AN38" s="48" t="str">
        <f>'[2]1201'!$L$42</f>
        <v>11.178.500,60</v>
      </c>
      <c r="AO38" s="48" t="str">
        <f>'[3]1201'!$L$42</f>
        <v>240,40</v>
      </c>
      <c r="AP38" s="48" t="str">
        <f>'[4]1201'!$L$42</f>
        <v>4.495,57</v>
      </c>
      <c r="AQ38" s="48" t="str">
        <f>'[5]1201'!$L$42</f>
        <v>12.621,25</v>
      </c>
      <c r="AR38" s="48" t="str">
        <f>'[6]1201'!$L$42</f>
        <v>0,00</v>
      </c>
      <c r="AS38" s="48" t="str">
        <f>'[7]1201'!$L$42</f>
        <v>0,00</v>
      </c>
      <c r="AT38" s="48" t="str">
        <f>'[8]1201'!$L$42</f>
        <v>0,00</v>
      </c>
      <c r="AU38" s="48" t="str">
        <f>'[9]1201'!$L$42</f>
        <v>0,00</v>
      </c>
      <c r="AV38" s="48" t="str">
        <f>'[10]1201'!$L$42</f>
        <v>0,00</v>
      </c>
      <c r="AW38" s="48" t="str">
        <f>'[11]1201'!$L$42</f>
        <v>0,00</v>
      </c>
      <c r="AX38" s="48" t="str">
        <f>'[12]1201'!$L$42</f>
        <v>0,00</v>
      </c>
      <c r="AY38" s="48"/>
      <c r="AZ38" s="48"/>
      <c r="BA38" s="48"/>
      <c r="BB38" s="48" t="str">
        <f>'[16]1211'!$L$42</f>
        <v>0,00</v>
      </c>
      <c r="BC38" s="48"/>
      <c r="BD38" s="48"/>
      <c r="BE38" s="48" t="str">
        <f>'[19]1291'!$L$33</f>
        <v>0,00</v>
      </c>
    </row>
    <row r="39" spans="1:57" s="36" customFormat="1" ht="18" customHeight="1">
      <c r="A39" s="35"/>
      <c r="B39" s="48"/>
      <c r="C39" s="39"/>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35"/>
      <c r="AD39" s="1" t="s">
        <v>138</v>
      </c>
      <c r="AE39" s="48">
        <f t="shared" si="11"/>
        <v>4534636.33</v>
      </c>
      <c r="AF39" s="39">
        <f t="shared" si="12"/>
        <v>0.0027178658095300934</v>
      </c>
      <c r="AG39" s="47"/>
      <c r="AH39" s="47"/>
      <c r="AI39" s="47" t="str">
        <f>'[22]1100'!$L$29</f>
        <v>0,00</v>
      </c>
      <c r="AJ39" s="47"/>
      <c r="AK39" s="47"/>
      <c r="AL39" s="47"/>
      <c r="AM39" s="48" t="str">
        <f>'[1]1201'!$L$47</f>
        <v>0,00</v>
      </c>
      <c r="AN39" s="48" t="str">
        <f>'[2]1201'!$L$47</f>
        <v>0,00</v>
      </c>
      <c r="AO39" s="48" t="str">
        <f>'[3]1201'!$L$47</f>
        <v>0,00</v>
      </c>
      <c r="AP39" s="48" t="str">
        <f>'[4]1201'!$L$47</f>
        <v>0,00</v>
      </c>
      <c r="AQ39" s="48" t="str">
        <f>'[5]1201'!$L$47</f>
        <v>0,00</v>
      </c>
      <c r="AR39" s="48" t="str">
        <f>'[6]1201'!$L$47</f>
        <v>0,00</v>
      </c>
      <c r="AS39" s="48" t="str">
        <f>'[7]1201'!$L$47</f>
        <v>3.155.313,55</v>
      </c>
      <c r="AT39" s="48" t="str">
        <f>'[8]1201'!$L$47</f>
        <v>0,00</v>
      </c>
      <c r="AU39" s="48" t="str">
        <f>'[9]1201'!$L$47</f>
        <v>0,00</v>
      </c>
      <c r="AV39" s="48" t="str">
        <f>'[10]1201'!$L$47</f>
        <v>1.379.322,78</v>
      </c>
      <c r="AW39" s="48" t="str">
        <f>'[11]1201'!$L$47</f>
        <v>0,00</v>
      </c>
      <c r="AX39" s="48" t="str">
        <f>'[12]1201'!$L$47</f>
        <v>0,00</v>
      </c>
      <c r="AY39" s="48"/>
      <c r="AZ39" s="48"/>
      <c r="BA39" s="48"/>
      <c r="BB39" s="48" t="str">
        <f>'[16]1211'!$L$47</f>
        <v>0,00</v>
      </c>
      <c r="BC39" s="48"/>
      <c r="BD39" s="48"/>
      <c r="BE39" s="48" t="str">
        <f>'[19]1291'!$L$34</f>
        <v>0,00</v>
      </c>
    </row>
    <row r="40" spans="1:57" s="36" customFormat="1" ht="18" customHeight="1">
      <c r="A40" s="35"/>
      <c r="B40" s="48"/>
      <c r="C40" s="39"/>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35"/>
      <c r="AD40" s="1" t="s">
        <v>139</v>
      </c>
      <c r="AE40" s="48">
        <f t="shared" si="11"/>
        <v>0</v>
      </c>
      <c r="AF40" s="39" t="str">
        <f t="shared" si="12"/>
        <v>--</v>
      </c>
      <c r="AG40" s="47"/>
      <c r="AH40" s="47"/>
      <c r="AI40" s="47"/>
      <c r="AJ40" s="47"/>
      <c r="AK40" s="47"/>
      <c r="AL40" s="47"/>
      <c r="AM40" s="48" t="str">
        <f>'[1]1201'!$L$51</f>
        <v>0,00</v>
      </c>
      <c r="AN40" s="48" t="str">
        <f>'[2]1201'!$L$51</f>
        <v>0,00</v>
      </c>
      <c r="AO40" s="48" t="str">
        <f>'[3]1201'!$L$51</f>
        <v>0,00</v>
      </c>
      <c r="AP40" s="48" t="str">
        <f>'[4]1201'!$L$51</f>
        <v>0,00</v>
      </c>
      <c r="AQ40" s="48" t="str">
        <f>'[5]1201'!$L$51</f>
        <v>0,00</v>
      </c>
      <c r="AR40" s="48" t="str">
        <f>'[6]1201'!$L$51</f>
        <v>0,00</v>
      </c>
      <c r="AS40" s="48" t="str">
        <f>'[7]1201'!$L$51</f>
        <v>0,00</v>
      </c>
      <c r="AT40" s="48" t="str">
        <f>'[8]1201'!$L$51</f>
        <v>0,00</v>
      </c>
      <c r="AU40" s="48" t="str">
        <f>'[9]1201'!$L$51</f>
        <v>0,00</v>
      </c>
      <c r="AV40" s="48" t="str">
        <f>'[10]1201'!$L$51</f>
        <v>0,00</v>
      </c>
      <c r="AW40" s="48" t="str">
        <f>'[11]1201'!$L$51</f>
        <v>0,00</v>
      </c>
      <c r="AX40" s="48" t="str">
        <f>'[12]1201'!$L$51</f>
        <v>0,00</v>
      </c>
      <c r="AY40" s="48"/>
      <c r="AZ40" s="48"/>
      <c r="BA40" s="48"/>
      <c r="BB40" s="48" t="str">
        <f>'[16]1211'!$L$51</f>
        <v>0,00</v>
      </c>
      <c r="BC40" s="48"/>
      <c r="BD40" s="48"/>
      <c r="BE40" s="48" t="str">
        <f>'[19]1291'!$L$35</f>
        <v>0,00</v>
      </c>
    </row>
    <row r="41" spans="1:57" s="36" customFormat="1" ht="18" customHeight="1">
      <c r="A41" s="35"/>
      <c r="B41" s="48"/>
      <c r="C41" s="39"/>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35"/>
      <c r="AD41" s="1" t="s">
        <v>215</v>
      </c>
      <c r="AE41" s="48">
        <f t="shared" si="11"/>
        <v>13063779.41</v>
      </c>
      <c r="AF41" s="39">
        <f>IF((AE41/$AE$58)=0,"--",AE41/$AE$58)</f>
        <v>0.007829867009794414</v>
      </c>
      <c r="AG41" s="47"/>
      <c r="AH41" s="47"/>
      <c r="AI41" s="47"/>
      <c r="AJ41" s="47"/>
      <c r="AK41" s="47"/>
      <c r="AL41" s="47"/>
      <c r="AM41" s="48"/>
      <c r="AN41" s="48"/>
      <c r="AO41" s="48"/>
      <c r="AP41" s="48"/>
      <c r="AQ41" s="48"/>
      <c r="AR41" s="48"/>
      <c r="AS41" s="48"/>
      <c r="AT41" s="48"/>
      <c r="AU41" s="48"/>
      <c r="AV41" s="48"/>
      <c r="AW41" s="48"/>
      <c r="AX41" s="48"/>
      <c r="AY41" s="48" t="str">
        <f>'[13]1211'!$L$31</f>
        <v>0,00</v>
      </c>
      <c r="AZ41" s="48" t="str">
        <f>'[14]1211'!$L$31</f>
        <v>12.020.242,09</v>
      </c>
      <c r="BA41" s="48" t="str">
        <f>'[15]1211'!$L$31</f>
        <v>1.043.537,32</v>
      </c>
      <c r="BB41" s="48"/>
      <c r="BC41" s="48" t="str">
        <f>'[17]1211'!$L$31</f>
        <v>0,00</v>
      </c>
      <c r="BD41" s="48" t="str">
        <f>'[18]1211'!$L$31</f>
        <v>0,00</v>
      </c>
      <c r="BE41" s="48"/>
    </row>
    <row r="42" spans="1:57" s="36" customFormat="1" ht="18" customHeight="1">
      <c r="A42" s="35"/>
      <c r="B42" s="48"/>
      <c r="C42" s="39"/>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35"/>
      <c r="AD42" s="1"/>
      <c r="AE42" s="48"/>
      <c r="AF42" s="39"/>
      <c r="AG42" s="47"/>
      <c r="AH42" s="47"/>
      <c r="AI42" s="47"/>
      <c r="AJ42" s="47"/>
      <c r="AK42" s="47"/>
      <c r="AL42" s="47"/>
      <c r="AM42" s="48"/>
      <c r="AN42" s="48"/>
      <c r="AO42" s="48"/>
      <c r="AP42" s="48"/>
      <c r="AQ42" s="48"/>
      <c r="AR42" s="48"/>
      <c r="AS42" s="48"/>
      <c r="AT42" s="48"/>
      <c r="AU42" s="48"/>
      <c r="AV42" s="48"/>
      <c r="AW42" s="48"/>
      <c r="AX42" s="48"/>
      <c r="AY42" s="48"/>
      <c r="AZ42" s="48"/>
      <c r="BA42" s="48"/>
      <c r="BB42" s="48"/>
      <c r="BC42" s="48"/>
      <c r="BD42" s="48"/>
      <c r="BE42" s="48"/>
    </row>
    <row r="43" spans="1:57" s="36" customFormat="1" ht="18" customHeight="1">
      <c r="A43" s="33" t="s">
        <v>115</v>
      </c>
      <c r="B43" s="119">
        <f>+D43+E43+F43+G43+H43+I43+J43+K43+L43+M43+N43+O43+P43+Q43+R43+S43+T43+U43+V43+W43+X43+Y43+Z43+AA43+AB43</f>
        <v>620967681.77</v>
      </c>
      <c r="C43" s="34">
        <f aca="true" t="shared" si="13" ref="C43:C53">IF((B43/$B$58)=0,"--",B43/$B$58)</f>
        <v>0.372181297084489</v>
      </c>
      <c r="D43" s="48">
        <f aca="true" t="shared" si="14" ref="D43:H43">D45+D46+D47+D48+D49+D50+D51+D52+D53</f>
        <v>1952208.08</v>
      </c>
      <c r="E43" s="48">
        <f t="shared" si="14"/>
        <v>1539623.52</v>
      </c>
      <c r="F43" s="48">
        <f aca="true" t="shared" si="15" ref="F43:G43">F45+F46+F47+F48+F49+F50+F51+F52+F53</f>
        <v>62005835.83</v>
      </c>
      <c r="G43" s="48">
        <f t="shared" si="15"/>
        <v>38437913.98</v>
      </c>
      <c r="H43" s="48">
        <f t="shared" si="14"/>
        <v>43221653.72999999</v>
      </c>
      <c r="I43" s="48">
        <f aca="true" t="shared" si="16" ref="I43">I45+I46+I47+I48+I49+I50+I51+I52+I53</f>
        <v>10333130.47</v>
      </c>
      <c r="J43" s="48" t="str">
        <f>'[1]1201'!$D$38</f>
        <v>28.702.504,63</v>
      </c>
      <c r="K43" s="48" t="str">
        <f>'[2]1201'!$D$38</f>
        <v>34.661.714,33</v>
      </c>
      <c r="L43" s="48" t="str">
        <f>'[3]1201'!$D$38</f>
        <v>1.424.866,92</v>
      </c>
      <c r="M43" s="48" t="str">
        <f>'[4]1201'!$D$38</f>
        <v>2.632.925,85</v>
      </c>
      <c r="N43" s="48">
        <f>'[5]1201'!$D$38-0.01</f>
        <v>12050587.18</v>
      </c>
      <c r="O43" s="48">
        <f>'[6]1201'!$D$38+0.01</f>
        <v>41197979.41</v>
      </c>
      <c r="P43" s="48" t="str">
        <f>'[7]1201'!$D$38</f>
        <v>9.623.570,86</v>
      </c>
      <c r="Q43" s="48" t="str">
        <f>'[8]1201'!$D$38</f>
        <v>23.577.680,81</v>
      </c>
      <c r="R43" s="48" t="str">
        <f>'[9]1201'!$D$38</f>
        <v>20.652.242,60</v>
      </c>
      <c r="S43" s="48" t="str">
        <f>'[10]1201'!$D$38</f>
        <v>195.389.341,65</v>
      </c>
      <c r="T43" s="48" t="str">
        <f>'[11]1201'!$D$38</f>
        <v>3.945.289,87</v>
      </c>
      <c r="U43" s="48" t="str">
        <f>'[12]1201'!$D$38</f>
        <v>5.365.679,80</v>
      </c>
      <c r="V43" s="48" t="str">
        <f>'[13]1211'!$D$38</f>
        <v>72.768,57</v>
      </c>
      <c r="W43" s="48" t="str">
        <f>'[14]1211'!$D$38</f>
        <v>13.773.893,24</v>
      </c>
      <c r="X43" s="48" t="str">
        <f>'[15]1211'!$D$38</f>
        <v>10.645.967,81</v>
      </c>
      <c r="Y43" s="48" t="str">
        <f>'[16]1211'!$D$38</f>
        <v>629.859,93</v>
      </c>
      <c r="Z43" s="48" t="str">
        <f>'[17]1211'!$D$38</f>
        <v>131.399,28</v>
      </c>
      <c r="AA43" s="48" t="str">
        <f>'[18]1211'!$D$38</f>
        <v>749.744,57</v>
      </c>
      <c r="AB43" s="48">
        <f>'[19]1291'!$D$27-0.01</f>
        <v>58249298.85</v>
      </c>
      <c r="AC43" s="35"/>
      <c r="AD43" s="32" t="s">
        <v>140</v>
      </c>
      <c r="AE43" s="119">
        <f>+AG43+AH43+AI43+AJ43+AK43+AL43+AM43+AN43+AO43+AP43+AQ43+AR43+AS43+AT43+AU43+AV43+AW43+AX43+AY43+AZ43+BA43+BB43+BC43+BD43+BE43</f>
        <v>454506918.94000006</v>
      </c>
      <c r="AF43" s="34">
        <f>IF((AE43/$AE$58)=0,"",AE43/$AE$58)</f>
        <v>0.27241188163415336</v>
      </c>
      <c r="AG43" s="47">
        <f aca="true" t="shared" si="17" ref="AG43:AK43">AG45+AG46+AG47+AG48+AG49+AG50+AG51+AG52+AG53+AG54</f>
        <v>4529069.29</v>
      </c>
      <c r="AH43" s="47">
        <f t="shared" si="17"/>
        <v>514782.39</v>
      </c>
      <c r="AI43" s="47">
        <f aca="true" t="shared" si="18" ref="AI43:AJ43">AI45+AI46+AI47+AI48+AI49+AI50+AI51+AI52+AI53+AI54</f>
        <v>35363972.93</v>
      </c>
      <c r="AJ43" s="47">
        <f t="shared" si="18"/>
        <v>16876138.87</v>
      </c>
      <c r="AK43" s="47">
        <f t="shared" si="17"/>
        <v>34301395.39</v>
      </c>
      <c r="AL43" s="47">
        <f aca="true" t="shared" si="19" ref="AL43">AL45+AL46+AL47+AL48+AL49+AL50+AL51+AL52+AL53+AL54</f>
        <v>8322089.14</v>
      </c>
      <c r="AM43" s="48" t="str">
        <f>'[1]1201'!$L$52</f>
        <v>27.073.090,72</v>
      </c>
      <c r="AN43" s="48" t="str">
        <f>'[2]1201'!$L$52</f>
        <v>26.513.258,33</v>
      </c>
      <c r="AO43" s="48" t="str">
        <f>'[3]1201'!$L$52</f>
        <v>2.739.776,60</v>
      </c>
      <c r="AP43" s="48" t="str">
        <f>'[4]1201'!$L$52</f>
        <v>3.046.969,10</v>
      </c>
      <c r="AQ43" s="48" t="str">
        <f>'[5]1201'!$L$52</f>
        <v>11.384.052,74</v>
      </c>
      <c r="AR43" s="48" t="str">
        <f>'[6]1201'!$L$52</f>
        <v>38.167.844,65</v>
      </c>
      <c r="AS43" s="48" t="str">
        <f>'[7]1201'!$L$52</f>
        <v>30.235.610,73</v>
      </c>
      <c r="AT43" s="48" t="str">
        <f>'[8]1201'!$L$52</f>
        <v>15.221.563,11</v>
      </c>
      <c r="AU43" s="48" t="str">
        <f>'[9]1201'!$L$52</f>
        <v>2.774.624,08</v>
      </c>
      <c r="AV43" s="48" t="str">
        <f>'[10]1201'!$L$52</f>
        <v>147.016.864,40</v>
      </c>
      <c r="AW43" s="48">
        <f>'[11]1201'!$L$52+0.01</f>
        <v>3295084.9299999997</v>
      </c>
      <c r="AX43" s="48" t="str">
        <f>'[12]1201'!$L$52</f>
        <v>13.609.173,85</v>
      </c>
      <c r="AY43" s="48" t="str">
        <f>'[13]1211'!$L$52</f>
        <v>17.974,17</v>
      </c>
      <c r="AZ43" s="48" t="str">
        <f>'[14]1211'!$L$52</f>
        <v>96.522,54</v>
      </c>
      <c r="BA43" s="48" t="str">
        <f>'[15]1211'!$L$52</f>
        <v>79.099,20</v>
      </c>
      <c r="BB43" s="48" t="str">
        <f>'[16]1211'!$L$52</f>
        <v>282.557,40</v>
      </c>
      <c r="BC43" s="48">
        <f>'[17]1211'!$L$52-0.01</f>
        <v>836903.34</v>
      </c>
      <c r="BD43" s="48" t="str">
        <f>'[18]1211'!$L$52</f>
        <v>8.005,48</v>
      </c>
      <c r="BE43" s="48" t="str">
        <f>'[19]1291'!$L$36</f>
        <v>32.200.495,56</v>
      </c>
    </row>
    <row r="44" spans="1:57" s="36" customFormat="1" ht="18" customHeight="1">
      <c r="A44" s="37"/>
      <c r="B44" s="120"/>
      <c r="C44" s="3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35"/>
      <c r="AD44" s="4"/>
      <c r="AE44" s="120"/>
      <c r="AF44" s="38"/>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row>
    <row r="45" spans="1:57" s="36" customFormat="1" ht="18" customHeight="1">
      <c r="A45" s="35" t="s">
        <v>116</v>
      </c>
      <c r="B45" s="48">
        <f>+D45+E45+F45+G45+H45+I45+J45+K45+L45+M45+N45+O45+P45+Q45+R45+S45+T45+U45+V45+W45+X45+Y45+Z45+AA45+AB45</f>
        <v>7209741.2</v>
      </c>
      <c r="C45" s="39">
        <f t="shared" si="13"/>
        <v>0.004321208510901793</v>
      </c>
      <c r="D45" s="48"/>
      <c r="E45" s="48"/>
      <c r="F45" s="48"/>
      <c r="G45" s="48"/>
      <c r="H45" s="48"/>
      <c r="I45" s="48"/>
      <c r="J45" s="48" t="str">
        <f>'[1]1201'!$D$39</f>
        <v>0,00</v>
      </c>
      <c r="K45" s="48" t="str">
        <f>'[2]1201'!$D$39</f>
        <v>0,00</v>
      </c>
      <c r="L45" s="48" t="str">
        <f>'[3]1201'!$D$39</f>
        <v>0,00</v>
      </c>
      <c r="M45" s="48" t="str">
        <f>'[4]1201'!$D$39</f>
        <v>0,00</v>
      </c>
      <c r="N45" s="48" t="str">
        <f>'[5]1201'!$D$39</f>
        <v>0,00</v>
      </c>
      <c r="O45" s="48" t="str">
        <f>'[6]1201'!$D$39</f>
        <v>0,00</v>
      </c>
      <c r="P45" s="48" t="str">
        <f>'[7]1201'!$D$39</f>
        <v>0,00</v>
      </c>
      <c r="Q45" s="48" t="str">
        <f>'[8]1201'!$D$39</f>
        <v>1.502.530,26</v>
      </c>
      <c r="R45" s="48" t="str">
        <f>'[9]1201'!$D$39</f>
        <v>5.707.210,94</v>
      </c>
      <c r="S45" s="48" t="str">
        <f>'[10]1201'!$D$39</f>
        <v>0,00</v>
      </c>
      <c r="T45" s="48" t="str">
        <f>'[11]1201'!$D$39</f>
        <v>0,00</v>
      </c>
      <c r="U45" s="48" t="str">
        <f>'[12]1201'!$D$39</f>
        <v>0,00</v>
      </c>
      <c r="V45" s="48" t="str">
        <f>'[13]1211'!$D$39</f>
        <v>0,00</v>
      </c>
      <c r="W45" s="48" t="str">
        <f>'[14]1211'!$D$39</f>
        <v>0,00</v>
      </c>
      <c r="X45" s="48" t="str">
        <f>'[15]1211'!$D$39</f>
        <v>0,00</v>
      </c>
      <c r="Y45" s="48" t="str">
        <f>'[16]1211'!$D$39</f>
        <v>0,00</v>
      </c>
      <c r="Z45" s="48" t="str">
        <f>'[17]1211'!$D$39</f>
        <v>0,00</v>
      </c>
      <c r="AA45" s="48" t="str">
        <f>'[18]1211'!$D$39</f>
        <v>0,00</v>
      </c>
      <c r="AB45" s="48" t="str">
        <f>'[19]1291'!$D$28</f>
        <v>0,00</v>
      </c>
      <c r="AC45" s="35"/>
      <c r="AD45" s="1" t="s">
        <v>135</v>
      </c>
      <c r="AE45" s="48">
        <f aca="true" t="shared" si="20" ref="AE45:AE54">+AG45+AH45+AI45+AJ45+AK45+AL45+AM45+AN45+AO45+AP45+AQ45+AR45+AS45+AT45+AU45+AV45+AW45+AX45+AY45+AZ45+BA45+BB45+BC45+BD45+BE45</f>
        <v>0</v>
      </c>
      <c r="AF45" s="39" t="str">
        <f aca="true" t="shared" si="21" ref="AF45:AF58">IF((AE45/$AE$58)=0,"--",AE45/$AE$58)</f>
        <v>--</v>
      </c>
      <c r="AG45" s="47" t="str">
        <f>'[20]1120'!$L$15</f>
        <v>0,00</v>
      </c>
      <c r="AH45" s="47" t="str">
        <f>'[21]1120'!$L$15</f>
        <v>0,00</v>
      </c>
      <c r="AI45" s="47" t="str">
        <f>'[22]1100'!$L$31</f>
        <v>0,00</v>
      </c>
      <c r="AJ45" s="47" t="str">
        <f>'[23]1120'!$L$15</f>
        <v>0,00</v>
      </c>
      <c r="AK45" s="47"/>
      <c r="AL45" s="47"/>
      <c r="AM45" s="48" t="str">
        <f>'[1]1201'!$L$53</f>
        <v>0,00</v>
      </c>
      <c r="AN45" s="48" t="str">
        <f>'[2]1201'!$L$53</f>
        <v>0,00</v>
      </c>
      <c r="AO45" s="48" t="str">
        <f>'[3]1201'!$L$53</f>
        <v>0,00</v>
      </c>
      <c r="AP45" s="48" t="str">
        <f>'[4]1201'!$L$53</f>
        <v>0,00</v>
      </c>
      <c r="AQ45" s="48" t="str">
        <f>'[5]1201'!$L$53</f>
        <v>0,00</v>
      </c>
      <c r="AR45" s="48" t="str">
        <f>'[6]1201'!$L$53</f>
        <v>0,00</v>
      </c>
      <c r="AS45" s="48" t="str">
        <f>'[7]1201'!$L$53</f>
        <v>0,00</v>
      </c>
      <c r="AT45" s="48" t="str">
        <f>'[8]1201'!$L$53</f>
        <v>0,00</v>
      </c>
      <c r="AU45" s="48" t="str">
        <f>'[9]1201'!$L$53</f>
        <v>0,00</v>
      </c>
      <c r="AV45" s="48" t="str">
        <f>'[10]1201'!$L$53</f>
        <v>0,00</v>
      </c>
      <c r="AW45" s="48" t="str">
        <f>'[11]1201'!$L$53</f>
        <v>0,00</v>
      </c>
      <c r="AX45" s="48" t="str">
        <f>'[12]1201'!$L$53</f>
        <v>0,00</v>
      </c>
      <c r="AY45" s="48"/>
      <c r="AZ45" s="48"/>
      <c r="BA45" s="48"/>
      <c r="BB45" s="48" t="str">
        <f>'[16]1211'!$L$53</f>
        <v>0,00</v>
      </c>
      <c r="BC45" s="48"/>
      <c r="BD45" s="48"/>
      <c r="BE45" s="48" t="str">
        <f>'[19]1291'!$L$23</f>
        <v>0,00</v>
      </c>
    </row>
    <row r="46" spans="1:57" s="36" customFormat="1" ht="18" customHeight="1">
      <c r="A46" s="35" t="s">
        <v>19</v>
      </c>
      <c r="B46" s="48">
        <f aca="true" t="shared" si="22" ref="B46:B53">+D46+E46+F46+G46+H46+I46+J46+K46+L46+M46+N46+O46+P46+Q46+R46+S46+T46+U46+V46+W46+X46+Y46+Z46+AA46+AB46</f>
        <v>128928767.01999998</v>
      </c>
      <c r="C46" s="39">
        <f t="shared" si="13"/>
        <v>0.07727435283625692</v>
      </c>
      <c r="D46" s="48" t="str">
        <f>'[20]1120'!$D$24</f>
        <v>34.191,58</v>
      </c>
      <c r="E46" s="48" t="str">
        <f>'[21]1120'!$D$24</f>
        <v>7.434,55</v>
      </c>
      <c r="F46" s="48" t="str">
        <f>'[22]1100'!$D$32</f>
        <v>0,00</v>
      </c>
      <c r="G46" s="48" t="str">
        <f>'[23]1120'!$D$24</f>
        <v>579.449,91</v>
      </c>
      <c r="H46" s="48" t="str">
        <f>'[24]1100'!$D$43</f>
        <v>0,00</v>
      </c>
      <c r="I46" s="48" t="str">
        <f>'[25]1100'!$D$43</f>
        <v>0,00</v>
      </c>
      <c r="J46" s="48" t="str">
        <f>'[1]1201'!$D$40</f>
        <v>0,00</v>
      </c>
      <c r="K46" s="48" t="str">
        <f>'[2]1201'!$D$40</f>
        <v>1.870.145,32</v>
      </c>
      <c r="L46" s="48" t="str">
        <f>'[3]1201'!$D$40</f>
        <v>0,00</v>
      </c>
      <c r="M46" s="48" t="str">
        <f>'[4]1201'!$D$40</f>
        <v>0,00</v>
      </c>
      <c r="N46" s="48">
        <f>'[5]1201'!$D$40-0.01</f>
        <v>35712.13</v>
      </c>
      <c r="O46" s="48" t="str">
        <f>'[6]1201'!$D$40</f>
        <v>0,00</v>
      </c>
      <c r="P46" s="48" t="str">
        <f>'[7]1201'!$D$40</f>
        <v>0,00</v>
      </c>
      <c r="Q46" s="48" t="str">
        <f>'[8]1201'!$D$40</f>
        <v>15.027.682,62</v>
      </c>
      <c r="R46" s="48" t="str">
        <f>'[9]1201'!$D$40</f>
        <v>838.230,99</v>
      </c>
      <c r="S46" s="48" t="str">
        <f>'[10]1201'!$D$40</f>
        <v>75.104.209,49</v>
      </c>
      <c r="T46" s="48" t="str">
        <f>'[11]1201'!$D$40</f>
        <v>0,00</v>
      </c>
      <c r="U46" s="48" t="str">
        <f>'[12]1201'!$D$40</f>
        <v>1.586,67</v>
      </c>
      <c r="V46" s="48" t="str">
        <f>'[13]1211'!$D$40</f>
        <v>0,00</v>
      </c>
      <c r="W46" s="48" t="str">
        <f>'[14]1211'!$D$40</f>
        <v>4.210.672,77</v>
      </c>
      <c r="X46" s="48" t="str">
        <f>'[15]1211'!$D$40</f>
        <v>0,00</v>
      </c>
      <c r="Y46" s="48" t="str">
        <f>'[16]1211'!$D$40</f>
        <v>0,00</v>
      </c>
      <c r="Z46" s="48" t="str">
        <f>'[17]1211'!$D$40</f>
        <v>0,00</v>
      </c>
      <c r="AA46" s="48" t="str">
        <f>'[18]1211'!$D$40</f>
        <v>115.706,85</v>
      </c>
      <c r="AB46" s="48" t="str">
        <f>'[19]1291'!$D$29</f>
        <v>31.103.744,14</v>
      </c>
      <c r="AC46" s="35"/>
      <c r="AD46" s="1" t="s">
        <v>136</v>
      </c>
      <c r="AE46" s="48">
        <f t="shared" si="20"/>
        <v>153988444.29</v>
      </c>
      <c r="AF46" s="39">
        <f t="shared" si="21"/>
        <v>0.0922940446248576</v>
      </c>
      <c r="AG46" s="47"/>
      <c r="AH46" s="47"/>
      <c r="AI46" s="47" t="str">
        <f>'[22]1100'!$L$36</f>
        <v>10.218.612,14</v>
      </c>
      <c r="AJ46" s="47"/>
      <c r="AK46" s="47" t="str">
        <f>'[24]1100'!$L$44</f>
        <v>0,00</v>
      </c>
      <c r="AL46" s="47" t="str">
        <f>'[25]1100'!$L$44</f>
        <v>1.078.250,24</v>
      </c>
      <c r="AM46" s="48" t="str">
        <f>'[1]1201'!$L$58</f>
        <v>0,00</v>
      </c>
      <c r="AN46" s="48" t="str">
        <f>'[2]1201'!$L$58</f>
        <v>16.142.776,44</v>
      </c>
      <c r="AO46" s="48" t="str">
        <f>'[3]1201'!$L$58</f>
        <v>0,00</v>
      </c>
      <c r="AP46" s="48" t="str">
        <f>'[4]1201'!$L$58</f>
        <v>1.011.208,88</v>
      </c>
      <c r="AQ46" s="48" t="str">
        <f>'[5]1201'!$L$58</f>
        <v>0,00</v>
      </c>
      <c r="AR46" s="48" t="str">
        <f>'[6]1201'!$L$58</f>
        <v>16.816.426,86</v>
      </c>
      <c r="AS46" s="48" t="str">
        <f>'[7]1201'!$L$58</f>
        <v>27.317.299,79</v>
      </c>
      <c r="AT46" s="48" t="str">
        <f>'[8]1201'!$L$58</f>
        <v>4.784.873,73</v>
      </c>
      <c r="AU46" s="48" t="str">
        <f>'[9]1201'!$L$58</f>
        <v>0,00</v>
      </c>
      <c r="AV46" s="48" t="str">
        <f>'[10]1201'!$L$58</f>
        <v>73.312.959,02</v>
      </c>
      <c r="AW46" s="48" t="str">
        <f>'[11]1201'!$L$58</f>
        <v>726.954,19</v>
      </c>
      <c r="AX46" s="48" t="str">
        <f>'[12]1201'!$L$58</f>
        <v>0,00</v>
      </c>
      <c r="AY46" s="48"/>
      <c r="AZ46" s="48"/>
      <c r="BA46" s="48"/>
      <c r="BB46" s="48" t="str">
        <f>'[16]1211'!$L$58</f>
        <v>219,10</v>
      </c>
      <c r="BC46" s="48"/>
      <c r="BD46" s="48"/>
      <c r="BE46" s="48" t="str">
        <f>'[19]1291'!$L$38</f>
        <v>2.578.863,90</v>
      </c>
    </row>
    <row r="47" spans="1:57" s="36" customFormat="1" ht="18" customHeight="1">
      <c r="A47" s="35" t="s">
        <v>117</v>
      </c>
      <c r="B47" s="48">
        <f t="shared" si="22"/>
        <v>0</v>
      </c>
      <c r="C47" s="39" t="str">
        <f t="shared" si="13"/>
        <v>--</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35"/>
      <c r="AD47" s="1" t="s">
        <v>141</v>
      </c>
      <c r="AE47" s="48">
        <f t="shared" si="20"/>
        <v>31431021.74</v>
      </c>
      <c r="AF47" s="39">
        <f t="shared" si="21"/>
        <v>0.018838401390777693</v>
      </c>
      <c r="AG47" s="47"/>
      <c r="AH47" s="47"/>
      <c r="AI47" s="47"/>
      <c r="AJ47" s="47"/>
      <c r="AK47" s="47"/>
      <c r="AL47" s="47"/>
      <c r="AM47" s="48" t="str">
        <f>'[1]1201'!$L$62</f>
        <v>9.190.006,13</v>
      </c>
      <c r="AN47" s="48" t="str">
        <f>'[2]1201'!$L$62</f>
        <v>582.591,08</v>
      </c>
      <c r="AO47" s="48" t="str">
        <f>'[3]1201'!$L$62</f>
        <v>0,00</v>
      </c>
      <c r="AP47" s="48" t="str">
        <f>'[4]1201'!$L$62</f>
        <v>0,00</v>
      </c>
      <c r="AQ47" s="48" t="str">
        <f>'[5]1201'!$L$62</f>
        <v>6.142.043,20</v>
      </c>
      <c r="AR47" s="48" t="str">
        <f>'[6]1201'!$L$62</f>
        <v>0,00</v>
      </c>
      <c r="AS47" s="48" t="str">
        <f>'[7]1201'!$L$62</f>
        <v>0,00</v>
      </c>
      <c r="AT47" s="48" t="str">
        <f>'[8]1201'!$L$62</f>
        <v>1.839.397,55</v>
      </c>
      <c r="AU47" s="48" t="str">
        <f>'[9]1201'!$L$62</f>
        <v>0,00</v>
      </c>
      <c r="AV47" s="48" t="str">
        <f>'[10]1201'!$L$62</f>
        <v>13.600.080,54</v>
      </c>
      <c r="AW47" s="48" t="str">
        <f>'[11]1201'!$L$62</f>
        <v>0,00</v>
      </c>
      <c r="AX47" s="48" t="str">
        <f>'[12]1201'!$L$62</f>
        <v>0,00</v>
      </c>
      <c r="AY47" s="48"/>
      <c r="AZ47" s="48"/>
      <c r="BA47" s="48"/>
      <c r="BB47" s="48" t="str">
        <f>'[16]1211'!$L$62</f>
        <v>76.903,24</v>
      </c>
      <c r="BC47" s="48"/>
      <c r="BD47" s="48"/>
      <c r="BE47" s="48" t="str">
        <f>'[19]1291'!$L$39</f>
        <v>0,00</v>
      </c>
    </row>
    <row r="48" spans="1:57" s="36" customFormat="1" ht="18" customHeight="1">
      <c r="A48" s="35" t="s">
        <v>123</v>
      </c>
      <c r="B48" s="48">
        <f t="shared" si="22"/>
        <v>0</v>
      </c>
      <c r="C48" s="39" t="str">
        <f t="shared" si="13"/>
        <v>--</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35"/>
      <c r="AD48" s="1" t="s">
        <v>142</v>
      </c>
      <c r="AE48" s="48">
        <f t="shared" si="20"/>
        <v>187210776.10999998</v>
      </c>
      <c r="AF48" s="39">
        <f t="shared" si="21"/>
        <v>0.11220608016541034</v>
      </c>
      <c r="AG48" s="47">
        <f>'[20]1120'!$L$16+'[20]1120'!$L$17+'[20]1120'!$L$18+'[20]1120'!$L$22</f>
        <v>3015530.86</v>
      </c>
      <c r="AH48" s="47">
        <f>'[21]1120'!$L$16+'[21]1120'!$L$17+'[21]1120'!$L$18+'[21]1120'!$L$22</f>
        <v>224041.78</v>
      </c>
      <c r="AI48" s="47">
        <f>'[22]1100'!$L$40+'[22]1100'!$L$41</f>
        <v>12851159.36</v>
      </c>
      <c r="AJ48" s="47">
        <f>'[23]1120'!$L$16+'[23]1120'!$L$17+'[23]1120'!$L$18+'[23]1120'!$L$22</f>
        <v>11868468.4</v>
      </c>
      <c r="AK48" s="47">
        <f>'[24]1100'!$L$33+'[24]1100'!$L$36+'[24]1100'!$L$39+'[24]1100'!$L$40+'[24]1100'!$L$41</f>
        <v>31885741.93</v>
      </c>
      <c r="AL48" s="47">
        <f>'[25]1100'!$L$33+'[25]1100'!$L$36+'[25]1100'!$L$39+'[25]1100'!$L$40+'[25]1100'!$L$41-0.01</f>
        <v>3596532.57</v>
      </c>
      <c r="AM48" s="48" t="str">
        <f>'[1]1201'!$L$65</f>
        <v>0,00</v>
      </c>
      <c r="AN48" s="48" t="str">
        <f>'[2]1201'!$L$65</f>
        <v>3.608.428,59</v>
      </c>
      <c r="AO48" s="48" t="str">
        <f>'[3]1201'!$L$65</f>
        <v>480.345,35</v>
      </c>
      <c r="AP48" s="48" t="str">
        <f>'[4]1201'!$L$65</f>
        <v>1.674.497,85</v>
      </c>
      <c r="AQ48" s="48" t="str">
        <f>'[5]1201'!$L$65</f>
        <v>4.602.797,11</v>
      </c>
      <c r="AR48" s="48" t="str">
        <f>'[6]1201'!$L$65</f>
        <v>20.967.683,58</v>
      </c>
      <c r="AS48" s="48" t="str">
        <f>'[7]1201'!$L$65</f>
        <v>2.771.011,26</v>
      </c>
      <c r="AT48" s="48" t="str">
        <f>'[8]1201'!$L$65</f>
        <v>6.978.087,10</v>
      </c>
      <c r="AU48" s="48" t="str">
        <f>'[9]1201'!$L$65</f>
        <v>2.163.061,79</v>
      </c>
      <c r="AV48" s="48" t="str">
        <f>'[10]1201'!$L$65</f>
        <v>51.333.603,79</v>
      </c>
      <c r="AW48" s="48" t="str">
        <f>'[11]1201'!$L$65</f>
        <v>995.360,19</v>
      </c>
      <c r="AX48" s="48" t="str">
        <f>'[12]1201'!$L$65</f>
        <v>304.208,29</v>
      </c>
      <c r="AY48" s="48"/>
      <c r="AZ48" s="48"/>
      <c r="BA48" s="48"/>
      <c r="BB48" s="48" t="str">
        <f>'[16]1211'!$L$65</f>
        <v>149.072,18</v>
      </c>
      <c r="BC48" s="48"/>
      <c r="BD48" s="48"/>
      <c r="BE48" s="48" t="str">
        <f>'[19]1291'!$L$40</f>
        <v>27.741.144,13</v>
      </c>
    </row>
    <row r="49" spans="1:57" s="36" customFormat="1" ht="18" customHeight="1">
      <c r="A49" s="35" t="s">
        <v>118</v>
      </c>
      <c r="B49" s="48">
        <f t="shared" si="22"/>
        <v>356854664.3599999</v>
      </c>
      <c r="C49" s="39">
        <f t="shared" si="13"/>
        <v>0.21388332396555845</v>
      </c>
      <c r="D49" s="48">
        <f>'[20]1120'!$D$30+'[20]1120'!$D$31+'[20]1120'!$D$32+'[20]1120'!$D$33</f>
        <v>1112192.65</v>
      </c>
      <c r="E49" s="48">
        <f>'[21]1120'!$D$30+'[21]1120'!$D$31+'[21]1120'!$D$32+'[21]1120'!$D$33</f>
        <v>1110884.8</v>
      </c>
      <c r="F49" s="48" t="str">
        <f>'[22]1100'!$D$39</f>
        <v>51.823.620,98</v>
      </c>
      <c r="G49" s="48">
        <f>'[23]1120'!$D$30+'[23]1120'!$D$31+'[23]1120'!$D$32+'[23]1120'!$D$33</f>
        <v>27468538.799999997</v>
      </c>
      <c r="H49" s="48">
        <f>'[24]1100'!$D$44+'[24]1100'!$D$57+'[24]1100'!$D$58</f>
        <v>41612241.56999999</v>
      </c>
      <c r="I49" s="48">
        <f>'[25]1100'!$D$44+'[25]1100'!$D$57+'[25]1100'!$D$58</f>
        <v>9877880.540000001</v>
      </c>
      <c r="J49" s="48" t="str">
        <f>'[1]1201'!$D$48</f>
        <v>27.519.226,77</v>
      </c>
      <c r="K49" s="48" t="str">
        <f>'[2]1201'!$D$48</f>
        <v>26.033.969,20</v>
      </c>
      <c r="L49" s="48">
        <f>'[3]1201'!$D$48-0.01</f>
        <v>626097.44</v>
      </c>
      <c r="M49" s="48" t="str">
        <f>'[4]1201'!$D$48</f>
        <v>2.477.762,55</v>
      </c>
      <c r="N49" s="48" t="str">
        <f>'[5]1201'!$D$48</f>
        <v>9.316.318,68</v>
      </c>
      <c r="O49" s="48" t="str">
        <f>'[6]1201'!$D$48</f>
        <v>40.995.907,11</v>
      </c>
      <c r="P49" s="48" t="str">
        <f>'[7]1201'!$D$48</f>
        <v>-148.123,94</v>
      </c>
      <c r="Q49" s="48" t="str">
        <f>'[8]1201'!$D$48</f>
        <v>3.208.845,70</v>
      </c>
      <c r="R49" s="48" t="str">
        <f>'[9]1201'!$D$48</f>
        <v>7.212.141,74</v>
      </c>
      <c r="S49" s="48" t="str">
        <f>'[10]1201'!$D$48</f>
        <v>76.279.158,10</v>
      </c>
      <c r="T49" s="48" t="str">
        <f>'[11]1201'!$D$48</f>
        <v>3.225.944,49</v>
      </c>
      <c r="U49" s="48" t="str">
        <f>'[12]1201'!$D$48</f>
        <v>770.731,91</v>
      </c>
      <c r="V49" s="48" t="str">
        <f>'[13]1211'!$D$48</f>
        <v>14.497,82</v>
      </c>
      <c r="W49" s="48" t="str">
        <f>'[14]1211'!$D$48</f>
        <v>33.638,65</v>
      </c>
      <c r="X49" s="48" t="str">
        <f>'[15]1211'!$D$48</f>
        <v>437.001,91</v>
      </c>
      <c r="Y49" s="48" t="str">
        <f>'[16]1211'!$D$48</f>
        <v>326.612,51</v>
      </c>
      <c r="Z49" s="48" t="str">
        <f>'[17]1211'!$D$48</f>
        <v>120.863,53</v>
      </c>
      <c r="AA49" s="48" t="str">
        <f>'[18]1211'!$D$48</f>
        <v>50.448,96</v>
      </c>
      <c r="AB49" s="48" t="str">
        <f>'[19]1291'!$D$30</f>
        <v>25.348.261,89</v>
      </c>
      <c r="AC49" s="35"/>
      <c r="AD49" s="1" t="s">
        <v>143</v>
      </c>
      <c r="AE49" s="48">
        <f t="shared" si="20"/>
        <v>62022803.06</v>
      </c>
      <c r="AF49" s="39">
        <f t="shared" si="21"/>
        <v>0.03717379820136369</v>
      </c>
      <c r="AG49" s="47">
        <f>'[20]1120'!$L$25+'[20]1120'!$L$29+'[20]1120'!$L$21+'[20]1120'!$L$20+'[20]1120'!$L$19+'[20]1120'!$L$23+'[20]1120'!$L$24</f>
        <v>1513538.43</v>
      </c>
      <c r="AH49" s="47">
        <f>'[21]1120'!$L$25+'[21]1120'!$L$29+'[21]1120'!$L$21+'[21]1120'!$L$20+'[21]1120'!$L$19+'[21]1120'!$L$23+'[21]1120'!$L$24</f>
        <v>290740.61</v>
      </c>
      <c r="AI49" s="47">
        <f>'[22]1100'!$L$39-AI48</f>
        <v>878180.8500000015</v>
      </c>
      <c r="AJ49" s="47">
        <f>'[23]1120'!$L$25+'[23]1120'!$L$29+'[23]1120'!$L$21+'[23]1120'!$L$20+'[23]1120'!$L$19+'[23]1120'!$L$23+'[23]1120'!$L$24</f>
        <v>1658857.1600000001</v>
      </c>
      <c r="AK49" s="47">
        <f>'[24]1100'!$L$42+'[24]1100'!$L$47</f>
        <v>2415653.46</v>
      </c>
      <c r="AL49" s="47">
        <f>'[25]1100'!$L$42+'[25]1100'!$L$47</f>
        <v>1039921.21</v>
      </c>
      <c r="AM49" s="48" t="str">
        <f>'[1]1201'!$L$69</f>
        <v>17.883.084,59</v>
      </c>
      <c r="AN49" s="48" t="str">
        <f>'[2]1201'!$L$69</f>
        <v>6.157.447,14</v>
      </c>
      <c r="AO49" s="48">
        <f>'[3]1201'!$L$69-0.01</f>
        <v>2259431.25</v>
      </c>
      <c r="AP49" s="48" t="str">
        <f>'[4]1201'!$L$69</f>
        <v>361.262,37</v>
      </c>
      <c r="AQ49" s="48" t="str">
        <f>'[5]1201'!$L$69</f>
        <v>639.212,43</v>
      </c>
      <c r="AR49" s="48" t="str">
        <f>'[6]1201'!$L$69</f>
        <v>383.734,21</v>
      </c>
      <c r="AS49" s="48" t="str">
        <f>'[7]1201'!$L$69</f>
        <v>125.371,29</v>
      </c>
      <c r="AT49" s="48">
        <f>'[8]1201'!$L$69-0.01</f>
        <v>1619204.73</v>
      </c>
      <c r="AU49" s="48" t="str">
        <f>'[9]1201'!$L$69</f>
        <v>611.562,29</v>
      </c>
      <c r="AV49" s="48" t="str">
        <f>'[10]1201'!$L$69</f>
        <v>7.401.343,86</v>
      </c>
      <c r="AW49" s="48" t="str">
        <f>'[11]1201'!$L$69</f>
        <v>1.543.050,50</v>
      </c>
      <c r="AX49" s="48" t="str">
        <f>'[12]1201'!$L$69</f>
        <v>13.304.370,56</v>
      </c>
      <c r="AY49" s="48"/>
      <c r="AZ49" s="48"/>
      <c r="BA49" s="48"/>
      <c r="BB49" s="48" t="str">
        <f>'[16]1211'!$L$69</f>
        <v>56.348,59</v>
      </c>
      <c r="BC49" s="48"/>
      <c r="BD49" s="48"/>
      <c r="BE49" s="48" t="str">
        <f>'[19]1291'!$L$41</f>
        <v>1.880.487,53</v>
      </c>
    </row>
    <row r="50" spans="1:57" s="36" customFormat="1" ht="18" customHeight="1">
      <c r="A50" s="35" t="s">
        <v>119</v>
      </c>
      <c r="B50" s="48">
        <f t="shared" si="22"/>
        <v>72507793.80000001</v>
      </c>
      <c r="C50" s="39">
        <f t="shared" si="13"/>
        <v>0.04345805029385414</v>
      </c>
      <c r="D50" s="48">
        <f>'[20]1120'!$D$35+'[20]1120'!$D$36+'[20]1120'!$D$37+'[20]1120'!$D$38</f>
        <v>0</v>
      </c>
      <c r="E50" s="48">
        <f>'[21]1120'!$D$35+'[21]1120'!$D$36+'[21]1120'!$D$37+'[21]1120'!$D$38</f>
        <v>0</v>
      </c>
      <c r="F50" s="48" t="str">
        <f>'[22]1100'!$D$46</f>
        <v>3.455,82</v>
      </c>
      <c r="G50" s="48">
        <f>'[23]1120'!$D$35+'[23]1120'!$D$36+'[23]1120'!$D$37+'[23]1120'!$D$38</f>
        <v>0</v>
      </c>
      <c r="H50" s="48">
        <f>'[24]1100'!$D$55+'[24]1100'!$D$56</f>
        <v>0</v>
      </c>
      <c r="I50" s="48">
        <f>'[25]1100'!$D$55+'[25]1100'!$D$56</f>
        <v>0</v>
      </c>
      <c r="J50" s="48" t="str">
        <f>'[1]1201'!$D$56</f>
        <v>38.110,90</v>
      </c>
      <c r="K50" s="48" t="str">
        <f>'[2]1201'!$D$56</f>
        <v>5.883.427,69</v>
      </c>
      <c r="L50" s="48" t="str">
        <f>'[3]1201'!$D$56</f>
        <v>0,00</v>
      </c>
      <c r="M50" s="48" t="str">
        <f>'[4]1201'!$D$56</f>
        <v>10.373,47</v>
      </c>
      <c r="N50" s="48" t="str">
        <f>'[5]1201'!$D$56</f>
        <v>34.215,62</v>
      </c>
      <c r="O50" s="48" t="str">
        <f>'[6]1201'!$D$56</f>
        <v>0,00</v>
      </c>
      <c r="P50" s="48" t="str">
        <f>'[7]1201'!$D$56</f>
        <v>9.460.276,96</v>
      </c>
      <c r="Q50" s="48" t="str">
        <f>'[8]1201'!$D$56</f>
        <v>2.463.987,35</v>
      </c>
      <c r="R50" s="48" t="str">
        <f>'[9]1201'!$D$56</f>
        <v>6.372.059,47</v>
      </c>
      <c r="S50" s="48" t="str">
        <f>'[10]1201'!$D$56</f>
        <v>24.567.259,26</v>
      </c>
      <c r="T50" s="48" t="str">
        <f>'[11]1201'!$D$56</f>
        <v>24.274,88</v>
      </c>
      <c r="U50" s="48" t="str">
        <f>'[12]1201'!$D$56</f>
        <v>3.953.397,52</v>
      </c>
      <c r="V50" s="48" t="str">
        <f>'[13]1211'!$D$56</f>
        <v>0,00</v>
      </c>
      <c r="W50" s="48" t="str">
        <f>'[14]1211'!$D$56</f>
        <v>9.267.258,06</v>
      </c>
      <c r="X50" s="48" t="str">
        <f>'[15]1211'!$D$56</f>
        <v>10.200.070,92</v>
      </c>
      <c r="Y50" s="48" t="str">
        <f>'[16]1211'!$D$56</f>
        <v>210.354,24</v>
      </c>
      <c r="Z50" s="48" t="str">
        <f>'[17]1211'!$D$56</f>
        <v>0,00</v>
      </c>
      <c r="AA50" s="48" t="str">
        <f>'[18]1211'!$D$56</f>
        <v>2.374,00</v>
      </c>
      <c r="AB50" s="48" t="str">
        <f>'[19]1291'!$D$35</f>
        <v>16.897,64</v>
      </c>
      <c r="AC50" s="35"/>
      <c r="AD50" s="1" t="s">
        <v>20</v>
      </c>
      <c r="AE50" s="48">
        <f t="shared" si="20"/>
        <v>0</v>
      </c>
      <c r="AF50" s="39" t="str">
        <f t="shared" si="21"/>
        <v>--</v>
      </c>
      <c r="AG50" s="47"/>
      <c r="AH50" s="47"/>
      <c r="AI50" s="47"/>
      <c r="AJ50" s="47"/>
      <c r="AK50" s="47"/>
      <c r="AL50" s="47"/>
      <c r="AM50" s="48"/>
      <c r="AN50" s="48"/>
      <c r="AO50" s="48"/>
      <c r="AP50" s="48"/>
      <c r="AQ50" s="48"/>
      <c r="AR50" s="48"/>
      <c r="AS50" s="48"/>
      <c r="AT50" s="48"/>
      <c r="AU50" s="48"/>
      <c r="AV50" s="48"/>
      <c r="AW50" s="48"/>
      <c r="AX50" s="48"/>
      <c r="AY50" s="48"/>
      <c r="AZ50" s="48"/>
      <c r="BA50" s="48"/>
      <c r="BB50" s="48"/>
      <c r="BC50" s="48"/>
      <c r="BD50" s="48"/>
      <c r="BE50" s="48"/>
    </row>
    <row r="51" spans="1:57" s="36" customFormat="1" ht="18" customHeight="1">
      <c r="A51" s="35" t="s">
        <v>120</v>
      </c>
      <c r="B51" s="48">
        <f t="shared" si="22"/>
        <v>389518.37</v>
      </c>
      <c r="C51" s="39">
        <f t="shared" si="13"/>
        <v>0.00023346054302151562</v>
      </c>
      <c r="D51" s="48">
        <f>'[20]1120'!$D$42+'[20]1120'!$D$43</f>
        <v>0</v>
      </c>
      <c r="E51" s="48">
        <f>'[21]1120'!$D$42+'[21]1120'!$D$43</f>
        <v>0</v>
      </c>
      <c r="F51" s="48" t="str">
        <f>'[22]1100'!$D$52</f>
        <v>0,00</v>
      </c>
      <c r="G51" s="48">
        <f>'[23]1120'!$D$42+'[23]1120'!$D$43</f>
        <v>0</v>
      </c>
      <c r="H51" s="48" t="str">
        <f>'[24]1100'!$D$60</f>
        <v>0,00</v>
      </c>
      <c r="I51" s="48" t="str">
        <f>'[25]1100'!$D$60</f>
        <v>0,00</v>
      </c>
      <c r="J51" s="48" t="str">
        <f>'[1]1201'!$D$67</f>
        <v>0,00</v>
      </c>
      <c r="K51" s="48">
        <f>'[2]1201'!$D$67+0.01</f>
        <v>66237.54999999999</v>
      </c>
      <c r="L51" s="48" t="str">
        <f>'[3]1201'!$D$67</f>
        <v>0,00</v>
      </c>
      <c r="M51" s="48" t="str">
        <f>'[4]1201'!$D$67</f>
        <v>0,00</v>
      </c>
      <c r="N51" s="48" t="str">
        <f>'[5]1201'!$D$67</f>
        <v>4.309,26</v>
      </c>
      <c r="O51" s="48" t="str">
        <f>'[6]1201'!$D$67</f>
        <v>396,67</v>
      </c>
      <c r="P51" s="48" t="str">
        <f>'[7]1201'!$D$67</f>
        <v>6.549,73</v>
      </c>
      <c r="Q51" s="48" t="str">
        <f>'[8]1201'!$D$67</f>
        <v>12.398,88</v>
      </c>
      <c r="R51" s="48" t="str">
        <f>'[9]1201'!$D$67</f>
        <v>12.049,63</v>
      </c>
      <c r="S51" s="48" t="str">
        <f>'[10]1201'!$D$67</f>
        <v>4.886,23</v>
      </c>
      <c r="T51" s="48" t="str">
        <f>'[11]1201'!$D$67</f>
        <v>22.255,48</v>
      </c>
      <c r="U51" s="48" t="str">
        <f>'[12]1201'!$D$67</f>
        <v>2.091,52</v>
      </c>
      <c r="V51" s="48" t="str">
        <f>'[13]1211'!$D$67</f>
        <v>0,00</v>
      </c>
      <c r="W51" s="48" t="str">
        <f>'[14]1211'!$D$67</f>
        <v>0,00</v>
      </c>
      <c r="X51" s="48" t="str">
        <f>'[15]1211'!$D$67</f>
        <v>0,00</v>
      </c>
      <c r="Y51" s="48" t="str">
        <f>'[16]1211'!$D$67</f>
        <v>11.735,24</v>
      </c>
      <c r="Z51" s="48" t="str">
        <f>'[17]1211'!$D$67</f>
        <v>0,00</v>
      </c>
      <c r="AA51" s="48" t="str">
        <f>'[18]1211'!$D$67</f>
        <v>0,00</v>
      </c>
      <c r="AB51" s="48" t="str">
        <f>'[19]1291'!$D$42</f>
        <v>246.608,18</v>
      </c>
      <c r="AC51" s="35"/>
      <c r="AD51" s="1" t="s">
        <v>21</v>
      </c>
      <c r="AE51" s="48">
        <f t="shared" si="20"/>
        <v>0</v>
      </c>
      <c r="AF51" s="39" t="str">
        <f t="shared" si="21"/>
        <v>--</v>
      </c>
      <c r="AG51" s="47"/>
      <c r="AH51" s="47"/>
      <c r="AI51" s="47"/>
      <c r="AJ51" s="47"/>
      <c r="AK51" s="47"/>
      <c r="AL51" s="47"/>
      <c r="AM51" s="48"/>
      <c r="AN51" s="48"/>
      <c r="AO51" s="48"/>
      <c r="AP51" s="48"/>
      <c r="AQ51" s="48"/>
      <c r="AR51" s="48"/>
      <c r="AS51" s="48"/>
      <c r="AT51" s="48"/>
      <c r="AU51" s="48"/>
      <c r="AV51" s="48"/>
      <c r="AW51" s="48"/>
      <c r="AX51" s="48"/>
      <c r="AY51" s="48"/>
      <c r="AZ51" s="48"/>
      <c r="BA51" s="48"/>
      <c r="BB51" s="48"/>
      <c r="BC51" s="48"/>
      <c r="BD51" s="48"/>
      <c r="BE51" s="48"/>
    </row>
    <row r="52" spans="1:57" s="36" customFormat="1" ht="18" customHeight="1">
      <c r="A52" s="35" t="s">
        <v>121</v>
      </c>
      <c r="B52" s="48">
        <f t="shared" si="22"/>
        <v>55077197.02</v>
      </c>
      <c r="C52" s="39">
        <f t="shared" si="13"/>
        <v>0.033010900934896094</v>
      </c>
      <c r="D52" s="48">
        <f>'[20]1120'!$D$39+'[20]1120'!$D$40+'[20]1120'!$D$41</f>
        <v>805823.85</v>
      </c>
      <c r="E52" s="48">
        <f>'[21]1120'!$D$39+'[21]1120'!$D$40+'[21]1120'!$D$41-0.01</f>
        <v>421304.17</v>
      </c>
      <c r="F52" s="48" t="str">
        <f>'[22]1100'!$D$51</f>
        <v>10.178.759,03</v>
      </c>
      <c r="G52" s="48">
        <f>'[23]1120'!$D$39+'[23]1120'!$D$40+'[23]1120'!$D$41</f>
        <v>10389925.27</v>
      </c>
      <c r="H52" s="48" t="str">
        <f>'[24]1100'!$D$59</f>
        <v>1.609.412,16</v>
      </c>
      <c r="I52" s="48" t="str">
        <f>'[25]1100'!$D$59</f>
        <v>455.249,93</v>
      </c>
      <c r="J52" s="48" t="str">
        <f>'[1]1201'!$D$66</f>
        <v>1.145.166,96</v>
      </c>
      <c r="K52" s="48">
        <f>'[2]1201'!$D$66+0.01</f>
        <v>807934.5700000001</v>
      </c>
      <c r="L52" s="48" t="str">
        <f>'[3]1201'!$D$66</f>
        <v>798.769,48</v>
      </c>
      <c r="M52" s="48">
        <f>'[4]1201'!$D$66-0.01</f>
        <v>144789.81999999998</v>
      </c>
      <c r="N52" s="48">
        <f>'[5]1201'!$D$66-0.01</f>
        <v>2660031.4800000004</v>
      </c>
      <c r="O52" s="48" t="str">
        <f>'[6]1201'!$D$66</f>
        <v>201.675,62</v>
      </c>
      <c r="P52" s="48" t="str">
        <f>'[7]1201'!$D$66</f>
        <v>304.868,11</v>
      </c>
      <c r="Q52" s="48" t="str">
        <f>'[8]1201'!$D$66</f>
        <v>1.362.236,01</v>
      </c>
      <c r="R52" s="48" t="str">
        <f>'[9]1201'!$D$66</f>
        <v>510.549,82</v>
      </c>
      <c r="S52" s="48">
        <f>'[10]1201'!$D$66-0.01</f>
        <v>19433828.56</v>
      </c>
      <c r="T52" s="48" t="str">
        <f>'[11]1201'!$D$66</f>
        <v>672.815,02</v>
      </c>
      <c r="U52" s="48">
        <f>'[12]1201'!$D$66+0.01</f>
        <v>637872.1900000001</v>
      </c>
      <c r="V52" s="48" t="str">
        <f>'[13]1211'!$D$66</f>
        <v>58.270,75</v>
      </c>
      <c r="W52" s="48" t="str">
        <f>'[14]1211'!$D$66</f>
        <v>262.323,75</v>
      </c>
      <c r="X52" s="48" t="str">
        <f>'[15]1211'!$D$66</f>
        <v>8.894,98</v>
      </c>
      <c r="Y52" s="48" t="str">
        <f>'[16]1211'!$D$66</f>
        <v>81.157,95</v>
      </c>
      <c r="Z52" s="48">
        <f>'[17]1211'!$D$66+0.01</f>
        <v>10535.75</v>
      </c>
      <c r="AA52" s="48">
        <f>'[18]1211'!$D$66+0.01</f>
        <v>581214.78</v>
      </c>
      <c r="AB52" s="48" t="str">
        <f>'[19]1291'!$D$41</f>
        <v>1.533.787,01</v>
      </c>
      <c r="AC52" s="35"/>
      <c r="AD52" s="1" t="s">
        <v>144</v>
      </c>
      <c r="AE52" s="48">
        <f t="shared" si="20"/>
        <v>144753.76</v>
      </c>
      <c r="AF52" s="39">
        <f t="shared" si="21"/>
        <v>8.67591723954024E-05</v>
      </c>
      <c r="AG52" s="47"/>
      <c r="AH52" s="47"/>
      <c r="AI52" s="47"/>
      <c r="AJ52" s="47"/>
      <c r="AK52" s="47"/>
      <c r="AL52" s="47"/>
      <c r="AM52" s="48" t="str">
        <f>'[1]1201'!$L$75</f>
        <v>0,00</v>
      </c>
      <c r="AN52" s="48" t="str">
        <f>'[2]1201'!$L$75</f>
        <v>0,00</v>
      </c>
      <c r="AO52" s="48" t="str">
        <f>'[3]1201'!$L$75</f>
        <v>0,00</v>
      </c>
      <c r="AP52" s="48" t="str">
        <f>'[4]1201'!$L$75</f>
        <v>0,00</v>
      </c>
      <c r="AQ52" s="48" t="str">
        <f>'[5]1201'!$L$75</f>
        <v>0,00</v>
      </c>
      <c r="AR52" s="48" t="str">
        <f>'[6]1201'!$L$75</f>
        <v>0,00</v>
      </c>
      <c r="AS52" s="48" t="str">
        <f>'[7]1201'!$L$75</f>
        <v>0,00</v>
      </c>
      <c r="AT52" s="48" t="str">
        <f>'[8]1201'!$L$75</f>
        <v>0,00</v>
      </c>
      <c r="AU52" s="48" t="str">
        <f>'[9]1201'!$L$75</f>
        <v>0,00</v>
      </c>
      <c r="AV52" s="48" t="str">
        <f>'[10]1201'!$L$75</f>
        <v>144.158,76</v>
      </c>
      <c r="AW52" s="48" t="str">
        <f>'[11]1201'!$L$75</f>
        <v>0,00</v>
      </c>
      <c r="AX52" s="48" t="str">
        <f>'[12]1201'!$L$75</f>
        <v>595,00</v>
      </c>
      <c r="AY52" s="48"/>
      <c r="AZ52" s="48"/>
      <c r="BA52" s="48"/>
      <c r="BB52" s="48" t="str">
        <f>'[16]1211'!$L$75</f>
        <v>0,00</v>
      </c>
      <c r="BC52" s="48"/>
      <c r="BD52" s="48"/>
      <c r="BE52" s="48" t="str">
        <f>'[19]1291'!$L$42</f>
        <v>0,00</v>
      </c>
    </row>
    <row r="53" spans="1:57" s="36" customFormat="1" ht="18" customHeight="1">
      <c r="A53" s="35" t="s">
        <v>122</v>
      </c>
      <c r="B53" s="48">
        <f t="shared" si="22"/>
        <v>0</v>
      </c>
      <c r="C53" s="39" t="str">
        <f t="shared" si="13"/>
        <v>--</v>
      </c>
      <c r="D53" s="48"/>
      <c r="E53" s="48"/>
      <c r="F53" s="48"/>
      <c r="G53" s="48"/>
      <c r="H53" s="48"/>
      <c r="I53" s="48"/>
      <c r="J53" s="48" t="str">
        <f>'[1]1201'!$D$65</f>
        <v>0,00</v>
      </c>
      <c r="K53" s="48" t="str">
        <f>'[2]1201'!$D$65</f>
        <v>0,00</v>
      </c>
      <c r="L53" s="48" t="str">
        <f>'[3]1201'!$D$65</f>
        <v>0,00</v>
      </c>
      <c r="M53" s="48" t="str">
        <f>'[4]1201'!$D$65</f>
        <v>0,00</v>
      </c>
      <c r="N53" s="48" t="str">
        <f>'[5]1201'!$D$65</f>
        <v>0,00</v>
      </c>
      <c r="O53" s="48" t="str">
        <f>'[6]1201'!$D$65</f>
        <v>0,00</v>
      </c>
      <c r="P53" s="48" t="str">
        <f>'[7]1201'!$D$65</f>
        <v>0,00</v>
      </c>
      <c r="Q53" s="48" t="str">
        <f>'[8]1201'!$D$65</f>
        <v>0,00</v>
      </c>
      <c r="R53" s="48" t="str">
        <f>'[9]1201'!$D$65</f>
        <v>0,00</v>
      </c>
      <c r="S53" s="48" t="str">
        <f>'[10]1201'!$D$65</f>
        <v>0,00</v>
      </c>
      <c r="T53" s="48" t="str">
        <f>'[11]1201'!$D$65</f>
        <v>0,00</v>
      </c>
      <c r="U53" s="48" t="str">
        <f>'[12]1201'!$D$65</f>
        <v>0,00</v>
      </c>
      <c r="V53" s="48" t="str">
        <f>'[13]1211'!$D$65</f>
        <v>0,00</v>
      </c>
      <c r="W53" s="48" t="str">
        <f>'[14]1211'!$D$65</f>
        <v>0,00</v>
      </c>
      <c r="X53" s="48" t="str">
        <f>'[15]1211'!$D$65</f>
        <v>0,00</v>
      </c>
      <c r="Y53" s="48" t="str">
        <f>'[16]1211'!$D$65</f>
        <v>0,00</v>
      </c>
      <c r="Z53" s="48" t="str">
        <f>'[17]1211'!$D$65</f>
        <v>0,00</v>
      </c>
      <c r="AA53" s="48" t="str">
        <f>'[18]1211'!$D$65</f>
        <v>0,00</v>
      </c>
      <c r="AB53" s="48" t="str">
        <f>'[19]1291'!$D$40</f>
        <v>0,00</v>
      </c>
      <c r="AC53" s="35"/>
      <c r="AD53" s="1" t="s">
        <v>145</v>
      </c>
      <c r="AE53" s="48">
        <f t="shared" si="20"/>
        <v>18670615.25</v>
      </c>
      <c r="AF53" s="39">
        <f t="shared" si="21"/>
        <v>0.011190363049657426</v>
      </c>
      <c r="AG53" s="47" t="str">
        <f>'[20]1120'!$L$28</f>
        <v>0,00</v>
      </c>
      <c r="AH53" s="47" t="str">
        <f>'[21]1120'!$L$28</f>
        <v>0,00</v>
      </c>
      <c r="AI53" s="47" t="str">
        <f>'[22]1100'!$L$46</f>
        <v>11.416.020,58</v>
      </c>
      <c r="AJ53" s="47" t="str">
        <f>'[23]1120'!$L$28</f>
        <v>3.348.813,31</v>
      </c>
      <c r="AK53" s="47" t="str">
        <f>'[24]1100'!$L$50</f>
        <v>0,00</v>
      </c>
      <c r="AL53" s="47" t="str">
        <f>'[25]1100'!$L$50</f>
        <v>2.607.385,12</v>
      </c>
      <c r="AM53" s="48" t="str">
        <f>'[1]1201'!$L$76</f>
        <v>0,00</v>
      </c>
      <c r="AN53" s="48">
        <f>'[2]1201'!$L$76+0.01</f>
        <v>22015.079999999998</v>
      </c>
      <c r="AO53" s="48" t="str">
        <f>'[3]1201'!$L$76</f>
        <v>0,00</v>
      </c>
      <c r="AP53" s="48" t="str">
        <f>'[4]1201'!$L$76</f>
        <v>0,00</v>
      </c>
      <c r="AQ53" s="48" t="str">
        <f>'[5]1201'!$L$76</f>
        <v>0,00</v>
      </c>
      <c r="AR53" s="48">
        <f>'[6]1201'!$L$76+0.01</f>
        <v>0.01</v>
      </c>
      <c r="AS53" s="48" t="str">
        <f>'[7]1201'!$L$76</f>
        <v>21.928,38</v>
      </c>
      <c r="AT53" s="48" t="str">
        <f>'[8]1201'!$L$76</f>
        <v>0,00</v>
      </c>
      <c r="AU53" s="48" t="str">
        <f>'[9]1201'!$L$76</f>
        <v>0,00</v>
      </c>
      <c r="AV53" s="48" t="str">
        <f>'[10]1201'!$L$76</f>
        <v>1.224.718,43</v>
      </c>
      <c r="AW53" s="48" t="str">
        <f>'[11]1201'!$L$76</f>
        <v>29.720,05</v>
      </c>
      <c r="AX53" s="48" t="str">
        <f>'[12]1201'!$L$76</f>
        <v>0,00</v>
      </c>
      <c r="AY53" s="48"/>
      <c r="AZ53" s="48"/>
      <c r="BA53" s="48"/>
      <c r="BB53" s="48" t="str">
        <f>'[16]1211'!$L$76</f>
        <v>14,29</v>
      </c>
      <c r="BC53" s="48"/>
      <c r="BD53" s="48"/>
      <c r="BE53" s="48" t="str">
        <f>'[19]1291'!$L$43</f>
        <v>0,00</v>
      </c>
    </row>
    <row r="54" spans="1:57" s="36" customFormat="1" ht="18" customHeight="1">
      <c r="A54" s="35"/>
      <c r="B54" s="48"/>
      <c r="C54" s="39"/>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35"/>
      <c r="AD54" s="1" t="s">
        <v>216</v>
      </c>
      <c r="AE54" s="48">
        <f t="shared" si="20"/>
        <v>1038504.73</v>
      </c>
      <c r="AF54" s="39">
        <f t="shared" si="21"/>
        <v>0.000622435029691186</v>
      </c>
      <c r="AG54" s="47"/>
      <c r="AH54" s="47"/>
      <c r="AI54" s="47"/>
      <c r="AJ54" s="47"/>
      <c r="AK54" s="47"/>
      <c r="AL54" s="47"/>
      <c r="AM54" s="48"/>
      <c r="AN54" s="48"/>
      <c r="AO54" s="48"/>
      <c r="AP54" s="48"/>
      <c r="AQ54" s="48"/>
      <c r="AR54" s="48"/>
      <c r="AS54" s="48"/>
      <c r="AT54" s="48"/>
      <c r="AU54" s="48"/>
      <c r="AV54" s="48"/>
      <c r="AW54" s="48"/>
      <c r="AX54" s="48"/>
      <c r="AY54" s="48" t="str">
        <f>'[13]1211'!$L$52</f>
        <v>17.974,17</v>
      </c>
      <c r="AZ54" s="48" t="str">
        <f>'[14]1211'!$L$52</f>
        <v>96.522,54</v>
      </c>
      <c r="BA54" s="48" t="str">
        <f>'[15]1211'!$L$52</f>
        <v>79.099,20</v>
      </c>
      <c r="BB54" s="48"/>
      <c r="BC54" s="48">
        <f>'[17]1211'!$L$52-0.01</f>
        <v>836903.34</v>
      </c>
      <c r="BD54" s="48" t="str">
        <f>'[18]1211'!$L$52</f>
        <v>8.005,48</v>
      </c>
      <c r="BE54" s="48"/>
    </row>
    <row r="55" spans="1:57" s="36" customFormat="1" ht="18" customHeight="1">
      <c r="A55" s="35"/>
      <c r="B55" s="48"/>
      <c r="C55" s="3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35"/>
      <c r="AD55" s="1"/>
      <c r="AE55" s="48"/>
      <c r="AF55" s="39"/>
      <c r="AG55" s="47"/>
      <c r="AH55" s="47"/>
      <c r="AI55" s="47"/>
      <c r="AJ55" s="47"/>
      <c r="AK55" s="47"/>
      <c r="AL55" s="47"/>
      <c r="AM55" s="48"/>
      <c r="AN55" s="48"/>
      <c r="AO55" s="48"/>
      <c r="AP55" s="48"/>
      <c r="AQ55" s="48"/>
      <c r="AR55" s="48"/>
      <c r="AS55" s="48"/>
      <c r="AT55" s="48"/>
      <c r="AU55" s="48"/>
      <c r="AV55" s="48"/>
      <c r="AW55" s="48"/>
      <c r="AX55" s="48"/>
      <c r="AY55" s="48"/>
      <c r="AZ55" s="48"/>
      <c r="BA55" s="48"/>
      <c r="BB55" s="48"/>
      <c r="BC55" s="48"/>
      <c r="BD55" s="48"/>
      <c r="BE55" s="48"/>
    </row>
    <row r="56" spans="1:57" s="36" customFormat="1" ht="18" customHeight="1">
      <c r="A56" s="35"/>
      <c r="B56" s="48"/>
      <c r="C56" s="3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35"/>
      <c r="AD56" s="32" t="s">
        <v>146</v>
      </c>
      <c r="AE56" s="119">
        <f>+AG56+AH56+AI56+AJ56+AK56+AL56+AM56+AN56+AO56+AP56+AQ56+AR56+AS56+AT56+AU56+AV56+AW56+AX56+AY56+AZ56+BA56+BB56+BC56+BD56+BE56</f>
        <v>0</v>
      </c>
      <c r="AF56" s="34" t="str">
        <f t="shared" si="21"/>
        <v>--</v>
      </c>
      <c r="AG56" s="47"/>
      <c r="AH56" s="47"/>
      <c r="AI56" s="47" t="str">
        <f>'[22]1100'!$L$47</f>
        <v>0,00</v>
      </c>
      <c r="AJ56" s="47"/>
      <c r="AK56" s="47"/>
      <c r="AL56" s="47"/>
      <c r="AM56" s="48" t="str">
        <f>'[1]1201'!$L$77</f>
        <v>0,00</v>
      </c>
      <c r="AN56" s="48" t="str">
        <f>'[2]1201'!$L$77</f>
        <v>0,00</v>
      </c>
      <c r="AO56" s="48" t="str">
        <f>'[3]1201'!$L$77</f>
        <v>0,00</v>
      </c>
      <c r="AP56" s="48" t="str">
        <f>'[4]1201'!$L$77</f>
        <v>0,00</v>
      </c>
      <c r="AQ56" s="48" t="str">
        <f>'[5]1201'!$L$77</f>
        <v>0,00</v>
      </c>
      <c r="AR56" s="48" t="str">
        <f>'[6]1201'!$L$77</f>
        <v>0,00</v>
      </c>
      <c r="AS56" s="48" t="str">
        <f>'[7]1201'!$L$77</f>
        <v>0,00</v>
      </c>
      <c r="AT56" s="48" t="str">
        <f>'[8]1201'!$L$77</f>
        <v>0,00</v>
      </c>
      <c r="AU56" s="48" t="str">
        <f>'[9]1201'!$L$77</f>
        <v>0,00</v>
      </c>
      <c r="AV56" s="48" t="str">
        <f>'[10]1201'!$L$77</f>
        <v>0,00</v>
      </c>
      <c r="AW56" s="48" t="str">
        <f>'[11]1201'!$L$77</f>
        <v>0,00</v>
      </c>
      <c r="AX56" s="48" t="str">
        <f>'[12]1201'!$L$77</f>
        <v>0,00</v>
      </c>
      <c r="AY56" s="48" t="str">
        <f>'[13]1211'!$L$77</f>
        <v>0,00</v>
      </c>
      <c r="AZ56" s="48" t="str">
        <f>'[14]1211'!$L$77</f>
        <v>0,00</v>
      </c>
      <c r="BA56" s="48" t="str">
        <f>'[15]1211'!$L$77</f>
        <v>0,00</v>
      </c>
      <c r="BB56" s="48" t="str">
        <f>'[16]1211'!$L$77</f>
        <v>0,00</v>
      </c>
      <c r="BC56" s="48" t="str">
        <f>'[17]1211'!$L$77</f>
        <v>0,00</v>
      </c>
      <c r="BD56" s="48" t="str">
        <f>'[18]1211'!$L$77</f>
        <v>0,00</v>
      </c>
      <c r="BE56" s="48" t="str">
        <f>'[19]1291'!$L$44</f>
        <v>0,00</v>
      </c>
    </row>
    <row r="57" spans="1:57" s="36" customFormat="1" ht="18" customHeight="1">
      <c r="A57" s="35"/>
      <c r="B57" s="48"/>
      <c r="C57" s="39"/>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35"/>
      <c r="AD57" s="110"/>
      <c r="AE57" s="121"/>
      <c r="AF57" s="111"/>
      <c r="AG57" s="47"/>
      <c r="AH57" s="47"/>
      <c r="AI57" s="47"/>
      <c r="AJ57" s="47"/>
      <c r="AK57" s="47"/>
      <c r="AL57" s="47"/>
      <c r="AM57" s="48"/>
      <c r="AN57" s="48"/>
      <c r="AO57" s="48"/>
      <c r="AP57" s="48"/>
      <c r="AQ57" s="48"/>
      <c r="AR57" s="48"/>
      <c r="AS57" s="48"/>
      <c r="AT57" s="48"/>
      <c r="AU57" s="48"/>
      <c r="AV57" s="48"/>
      <c r="AW57" s="48"/>
      <c r="AX57" s="48"/>
      <c r="AY57" s="48"/>
      <c r="AZ57" s="48"/>
      <c r="BA57" s="48"/>
      <c r="BB57" s="48"/>
      <c r="BC57" s="48"/>
      <c r="BD57" s="48"/>
      <c r="BE57" s="48"/>
    </row>
    <row r="58" spans="1:58" s="36" customFormat="1" ht="18" customHeight="1" thickBot="1">
      <c r="A58" s="41" t="s">
        <v>148</v>
      </c>
      <c r="B58" s="115">
        <f>+D58+E58+F58+G58+H58+I58+J58+K58+L58+M58+N58+O58+P58+Q58+R58+S58+T58+U58+V58+W58+X58+Y58+Z58+AA58+AB58</f>
        <v>1668454827.3499997</v>
      </c>
      <c r="C58" s="42">
        <f>IF((B58/$B$58)=0,"--",B58/$B$58)</f>
        <v>1</v>
      </c>
      <c r="D58" s="48">
        <f aca="true" t="shared" si="23" ref="D58:H58">D13+D15+D31+D33+D43</f>
        <v>8895076.89</v>
      </c>
      <c r="E58" s="48">
        <f t="shared" si="23"/>
        <v>7940073.459999999</v>
      </c>
      <c r="F58" s="48">
        <f aca="true" t="shared" si="24" ref="F58:G58">F13+F15+F31+F33+F43</f>
        <v>238850690.56</v>
      </c>
      <c r="G58" s="48">
        <f t="shared" si="24"/>
        <v>177021096.45999998</v>
      </c>
      <c r="H58" s="48">
        <f t="shared" si="23"/>
        <v>138389184.76</v>
      </c>
      <c r="I58" s="48">
        <f aca="true" t="shared" si="25" ref="I58">I13+I15+I31+I33+I43</f>
        <v>33629461.480000004</v>
      </c>
      <c r="J58" s="48">
        <f>J13+J15+J31+J33+J43</f>
        <v>64690426.480000004</v>
      </c>
      <c r="K58" s="48">
        <f aca="true" t="shared" si="26" ref="K58:T58">K13+K15+K31+K33+K43</f>
        <v>337439880.74999994</v>
      </c>
      <c r="L58" s="48">
        <f t="shared" si="26"/>
        <v>37004272.45</v>
      </c>
      <c r="M58" s="48">
        <f t="shared" si="26"/>
        <v>4753687.21</v>
      </c>
      <c r="N58" s="48">
        <f t="shared" si="26"/>
        <v>29916279.009999998</v>
      </c>
      <c r="O58" s="48">
        <f t="shared" si="26"/>
        <v>71753927.63</v>
      </c>
      <c r="P58" s="48">
        <f t="shared" si="26"/>
        <v>81288403.57</v>
      </c>
      <c r="Q58" s="48">
        <f t="shared" si="26"/>
        <v>38888428.11</v>
      </c>
      <c r="R58" s="48">
        <f>R13+R15+R31+R33+R43</f>
        <v>22972382.62</v>
      </c>
      <c r="S58" s="48">
        <f t="shared" si="26"/>
        <v>217972647.94</v>
      </c>
      <c r="T58" s="48">
        <f t="shared" si="26"/>
        <v>4474613.25</v>
      </c>
      <c r="U58" s="48">
        <f>U13+U15+U31+U33+U43</f>
        <v>32722386.490000002</v>
      </c>
      <c r="V58" s="48">
        <f aca="true" t="shared" si="27" ref="V58:Y58">V13+V15+V31+V33+V43</f>
        <v>168359</v>
      </c>
      <c r="W58" s="48">
        <f aca="true" t="shared" si="28" ref="W58">W13+W15+W31+W33+W43</f>
        <v>13786472.42</v>
      </c>
      <c r="X58" s="48">
        <f t="shared" si="27"/>
        <v>23506484.92</v>
      </c>
      <c r="Y58" s="48">
        <f t="shared" si="27"/>
        <v>873337.68</v>
      </c>
      <c r="Z58" s="48">
        <f>Z13+Z15+Z31+Z33+Z43</f>
        <v>987156.37</v>
      </c>
      <c r="AA58" s="48">
        <f>AA13+AA15+AA31+AA33+AA43</f>
        <v>3496472.06</v>
      </c>
      <c r="AB58" s="48">
        <f>AB13+AB15+AB31+AB33+AB43</f>
        <v>77033625.78</v>
      </c>
      <c r="AC58" s="35"/>
      <c r="AD58" s="41" t="s">
        <v>184</v>
      </c>
      <c r="AE58" s="115">
        <f>+AG58+AH58+AI58+AJ58+AK58+AL58+AM58+AN58+AO58+AP58+AQ58+AR58+AS58+AT58+AU58+AV58+AW58+AX58+AY58+AZ58+BA58+BB58+BC58+BD58+BE58</f>
        <v>1668454827.3500001</v>
      </c>
      <c r="AF58" s="42">
        <f t="shared" si="21"/>
        <v>1</v>
      </c>
      <c r="AG58" s="47">
        <f>AG13+AG25+AG27+AG29+AG31+AG33+AG43+AG56</f>
        <v>8895076.89</v>
      </c>
      <c r="AH58" s="47">
        <f aca="true" t="shared" si="29" ref="AH58:AJ58">AH13+AH25+AH27+AH29+AH31+AH33+AH43+AH56</f>
        <v>7940073.46</v>
      </c>
      <c r="AI58" s="47">
        <f aca="true" t="shared" si="30" ref="AI58">AI13+AI25+AI27+AI29+AI31+AI33+AI43+AI56</f>
        <v>238850690.56000003</v>
      </c>
      <c r="AJ58" s="47">
        <f t="shared" si="29"/>
        <v>177021096.46</v>
      </c>
      <c r="AK58" s="47">
        <f>AK13+AK25+AK27+AK29+AK31+AK33+AK43+AK56</f>
        <v>138389184.76</v>
      </c>
      <c r="AL58" s="47">
        <f>AL13+AL25+AL27+AL29+AL31+AL33+AL43+AL56</f>
        <v>33629461.48</v>
      </c>
      <c r="AM58" s="47">
        <f>AM13+AM25+AM27+AM29+AM31+AM33+AM43+AM56</f>
        <v>64690426.48</v>
      </c>
      <c r="AN58" s="47">
        <f aca="true" t="shared" si="31" ref="AN58:BD58">AN13+AN25+AN27+AN29+AN31+AN33+AN43+AN56</f>
        <v>337439880.75</v>
      </c>
      <c r="AO58" s="47">
        <f t="shared" si="31"/>
        <v>37004272.45</v>
      </c>
      <c r="AP58" s="47">
        <f t="shared" si="31"/>
        <v>4753687.21</v>
      </c>
      <c r="AQ58" s="47">
        <f t="shared" si="31"/>
        <v>29916279.009999998</v>
      </c>
      <c r="AR58" s="47">
        <f t="shared" si="31"/>
        <v>71753927.63</v>
      </c>
      <c r="AS58" s="47">
        <f t="shared" si="31"/>
        <v>81288403.57</v>
      </c>
      <c r="AT58" s="47">
        <f t="shared" si="31"/>
        <v>38888428.11</v>
      </c>
      <c r="AU58" s="47">
        <f>AU13+AU25+AU27+AU29+AU31+AU33+AU43+AU56</f>
        <v>22972382.619999997</v>
      </c>
      <c r="AV58" s="47">
        <f t="shared" si="31"/>
        <v>217972647.94</v>
      </c>
      <c r="AW58" s="47">
        <f t="shared" si="31"/>
        <v>4474613.25</v>
      </c>
      <c r="AX58" s="47">
        <f t="shared" si="31"/>
        <v>32722386.490000002</v>
      </c>
      <c r="AY58" s="47">
        <f t="shared" si="31"/>
        <v>168359</v>
      </c>
      <c r="AZ58" s="47">
        <f aca="true" t="shared" si="32" ref="AZ58">AZ13+AZ25+AZ27+AZ29+AZ31+AZ33+AZ43+AZ56</f>
        <v>13786472.419999998</v>
      </c>
      <c r="BA58" s="47">
        <f t="shared" si="31"/>
        <v>23506484.919999998</v>
      </c>
      <c r="BB58" s="47">
        <f t="shared" si="31"/>
        <v>873337.68</v>
      </c>
      <c r="BC58" s="47">
        <f t="shared" si="31"/>
        <v>987156.37</v>
      </c>
      <c r="BD58" s="47">
        <f t="shared" si="31"/>
        <v>3496472.06</v>
      </c>
      <c r="BE58" s="47">
        <f>BE13+BE25+BE27+BE29+BE31+BE33+BE43+BE56</f>
        <v>77033625.78</v>
      </c>
      <c r="BF58" s="109"/>
    </row>
    <row r="59" spans="1:57" s="36" customFormat="1" ht="18" customHeight="1">
      <c r="A59" s="4"/>
      <c r="B59" s="37"/>
      <c r="C59" s="43"/>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35"/>
      <c r="AD59" s="4"/>
      <c r="AE59" s="120"/>
      <c r="AF59" s="43"/>
      <c r="AG59" s="28"/>
      <c r="AH59" s="28"/>
      <c r="AI59" s="28"/>
      <c r="AJ59" s="28"/>
      <c r="AK59" s="28"/>
      <c r="AL59" s="28"/>
      <c r="AM59" s="28"/>
      <c r="AO59" s="28"/>
      <c r="AP59" s="28"/>
      <c r="AQ59" s="28"/>
      <c r="AR59" s="28"/>
      <c r="AS59" s="28"/>
      <c r="AT59" s="28"/>
      <c r="AU59" s="28"/>
      <c r="AV59" s="28"/>
      <c r="AW59" s="28"/>
      <c r="AX59" s="28"/>
      <c r="AY59" s="28"/>
      <c r="AZ59" s="28"/>
      <c r="BA59" s="28"/>
      <c r="BB59" s="28"/>
      <c r="BC59" s="28"/>
      <c r="BD59" s="28"/>
      <c r="BE59" s="28"/>
    </row>
    <row r="60" spans="2:31" s="36" customFormat="1" ht="18" customHeight="1">
      <c r="B60" s="44"/>
      <c r="C60" s="44"/>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5"/>
      <c r="AE60" s="122"/>
    </row>
    <row r="61" spans="1:57" s="36" customFormat="1" ht="18" customHeight="1">
      <c r="A61" s="64" t="s">
        <v>191</v>
      </c>
      <c r="B61" s="28"/>
      <c r="C61" s="28"/>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5"/>
      <c r="AD61" s="3"/>
      <c r="AE61" s="123"/>
      <c r="AF61" s="3"/>
      <c r="AG61" s="28"/>
      <c r="AH61" s="28"/>
      <c r="AI61" s="28"/>
      <c r="AJ61" s="28"/>
      <c r="AK61" s="28"/>
      <c r="AL61" s="28"/>
      <c r="AM61" s="28"/>
      <c r="AO61" s="28"/>
      <c r="AP61" s="28"/>
      <c r="AQ61" s="28"/>
      <c r="AR61" s="28"/>
      <c r="AS61" s="28"/>
      <c r="AT61" s="28"/>
      <c r="AU61" s="28"/>
      <c r="AV61" s="28"/>
      <c r="AW61" s="28"/>
      <c r="AX61" s="28"/>
      <c r="AY61" s="28"/>
      <c r="AZ61" s="28"/>
      <c r="BA61" s="28"/>
      <c r="BB61" s="28"/>
      <c r="BC61" s="28"/>
      <c r="BD61" s="28"/>
      <c r="BE61" s="28"/>
    </row>
    <row r="62" spans="1:31" s="36" customFormat="1" ht="18" customHeight="1">
      <c r="A62" s="35"/>
      <c r="B62" s="44"/>
      <c r="C62" s="44"/>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5"/>
      <c r="AE62" s="122"/>
    </row>
    <row r="63" spans="2:57" s="36" customFormat="1" ht="18" customHeight="1">
      <c r="B63" s="44"/>
      <c r="C63" s="44"/>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5"/>
      <c r="AE63" s="122"/>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row>
    <row r="64" spans="2:31" s="36" customFormat="1" ht="18" customHeight="1">
      <c r="B64" s="44"/>
      <c r="C64" s="44"/>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5"/>
      <c r="AE64" s="122"/>
    </row>
    <row r="65" spans="2:31" s="36" customFormat="1" ht="18" customHeight="1">
      <c r="B65" s="44"/>
      <c r="C65" s="44"/>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5"/>
      <c r="AE65" s="122"/>
    </row>
    <row r="66" spans="2:31" s="36" customFormat="1" ht="18" customHeight="1">
      <c r="B66" s="44"/>
      <c r="C66" s="44"/>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5"/>
      <c r="AE66" s="122"/>
    </row>
    <row r="67" spans="2:31" s="36" customFormat="1" ht="18" customHeight="1">
      <c r="B67" s="44"/>
      <c r="C67" s="44"/>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5"/>
      <c r="AE67" s="122"/>
    </row>
    <row r="68" spans="2:31" s="36" customFormat="1" ht="18" customHeight="1">
      <c r="B68" s="44"/>
      <c r="C68" s="44"/>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5"/>
      <c r="AE68" s="122"/>
    </row>
    <row r="69" spans="1:32" s="36" customFormat="1" ht="18" customHeight="1">
      <c r="A69" s="3"/>
      <c r="B69" s="28"/>
      <c r="C69" s="2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5"/>
      <c r="AD69" s="3"/>
      <c r="AE69" s="123"/>
      <c r="AF69" s="3"/>
    </row>
    <row r="70" spans="1:32" s="36" customFormat="1" ht="18" customHeight="1">
      <c r="A70" s="3"/>
      <c r="B70" s="28"/>
      <c r="C70" s="2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5"/>
      <c r="AD70" s="3"/>
      <c r="AE70" s="123"/>
      <c r="AF70" s="3"/>
    </row>
    <row r="71" spans="1:32" s="36" customFormat="1" ht="18" customHeight="1">
      <c r="A71" s="3"/>
      <c r="B71" s="28"/>
      <c r="C71" s="28"/>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5"/>
      <c r="AD71" s="3"/>
      <c r="AE71" s="123"/>
      <c r="AF71" s="3"/>
    </row>
    <row r="72" spans="1:32" s="36" customFormat="1" ht="18" customHeight="1">
      <c r="A72" s="3"/>
      <c r="B72" s="28"/>
      <c r="C72" s="28"/>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5"/>
      <c r="AD72" s="3"/>
      <c r="AE72" s="123"/>
      <c r="AF72" s="3"/>
    </row>
    <row r="73" spans="1:32" s="36" customFormat="1" ht="18" customHeight="1">
      <c r="A73" s="3"/>
      <c r="B73" s="28"/>
      <c r="C73" s="28"/>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5"/>
      <c r="AD73" s="3"/>
      <c r="AE73" s="123"/>
      <c r="AF73" s="3"/>
    </row>
    <row r="74" spans="1:32" s="36" customFormat="1" ht="18" customHeight="1">
      <c r="A74" s="3"/>
      <c r="B74" s="28"/>
      <c r="C74" s="28"/>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5"/>
      <c r="AD74" s="3"/>
      <c r="AE74" s="123"/>
      <c r="AF74" s="3"/>
    </row>
    <row r="75" spans="1:32" s="36" customFormat="1" ht="18" customHeight="1">
      <c r="A75" s="3"/>
      <c r="B75" s="28"/>
      <c r="C75" s="28"/>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5"/>
      <c r="AD75" s="3"/>
      <c r="AE75" s="123"/>
      <c r="AF75" s="3"/>
    </row>
    <row r="76" spans="1:32" s="36" customFormat="1" ht="18" customHeight="1">
      <c r="A76" s="3"/>
      <c r="B76" s="28"/>
      <c r="C76" s="28"/>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5"/>
      <c r="AD76" s="3"/>
      <c r="AE76" s="123"/>
      <c r="AF76" s="3"/>
    </row>
    <row r="77" spans="1:32" s="36" customFormat="1" ht="18" customHeight="1">
      <c r="A77" s="3"/>
      <c r="B77" s="28"/>
      <c r="C77" s="28"/>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5"/>
      <c r="AD77" s="3"/>
      <c r="AE77" s="123"/>
      <c r="AF77" s="3"/>
    </row>
    <row r="78" spans="1:32" s="36" customFormat="1" ht="18" customHeight="1">
      <c r="A78" s="3"/>
      <c r="B78" s="28"/>
      <c r="C78" s="28"/>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5"/>
      <c r="AD78" s="3"/>
      <c r="AE78" s="123"/>
      <c r="AF78" s="3"/>
    </row>
    <row r="79" spans="1:32" s="36" customFormat="1" ht="18" customHeight="1">
      <c r="A79" s="3"/>
      <c r="B79" s="28"/>
      <c r="C79" s="28"/>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5"/>
      <c r="AD79" s="3"/>
      <c r="AE79" s="123"/>
      <c r="AF79" s="3"/>
    </row>
    <row r="80" spans="1:32" s="36" customFormat="1" ht="18" customHeight="1">
      <c r="A80" s="3"/>
      <c r="B80" s="28"/>
      <c r="C80" s="28"/>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5"/>
      <c r="AD80" s="3"/>
      <c r="AE80" s="123"/>
      <c r="AF80" s="3"/>
    </row>
    <row r="81" spans="1:32" s="36" customFormat="1" ht="18" customHeight="1">
      <c r="A81" s="3"/>
      <c r="B81" s="28"/>
      <c r="C81" s="2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5"/>
      <c r="AD81" s="3"/>
      <c r="AE81" s="123"/>
      <c r="AF81" s="3"/>
    </row>
    <row r="82" spans="1:32" s="36" customFormat="1" ht="18" customHeight="1">
      <c r="A82" s="3"/>
      <c r="B82" s="28"/>
      <c r="C82" s="28"/>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5"/>
      <c r="AD82" s="3"/>
      <c r="AE82" s="123"/>
      <c r="AF82" s="3"/>
    </row>
    <row r="83" spans="1:32" s="36" customFormat="1" ht="18" customHeight="1">
      <c r="A83" s="3"/>
      <c r="B83" s="28"/>
      <c r="C83" s="28"/>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5"/>
      <c r="AD83" s="3"/>
      <c r="AE83" s="123"/>
      <c r="AF83" s="3"/>
    </row>
    <row r="84" spans="1:32" s="36" customFormat="1" ht="18" customHeight="1">
      <c r="A84" s="3"/>
      <c r="B84" s="28"/>
      <c r="C84" s="28"/>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5"/>
      <c r="AD84" s="3"/>
      <c r="AE84" s="123"/>
      <c r="AF84" s="3"/>
    </row>
    <row r="85" spans="1:32" s="36" customFormat="1" ht="18" customHeight="1">
      <c r="A85" s="3"/>
      <c r="B85" s="28"/>
      <c r="C85" s="28"/>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5"/>
      <c r="AD85" s="3"/>
      <c r="AE85" s="123"/>
      <c r="AF85" s="3"/>
    </row>
    <row r="86" spans="1:57" s="36" customFormat="1" ht="18" customHeight="1">
      <c r="A86" s="3"/>
      <c r="B86" s="28"/>
      <c r="C86" s="28"/>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5"/>
      <c r="AD86" s="3"/>
      <c r="AE86" s="12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row>
    <row r="87" spans="1:32" s="36" customFormat="1" ht="18" customHeight="1">
      <c r="A87" s="3"/>
      <c r="B87" s="28"/>
      <c r="C87" s="28"/>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5"/>
      <c r="AD87" s="3"/>
      <c r="AE87" s="123"/>
      <c r="AF87" s="3"/>
    </row>
    <row r="88" spans="1:57" s="36" customFormat="1" ht="18" customHeight="1">
      <c r="A88" s="3"/>
      <c r="B88" s="28"/>
      <c r="C88" s="28"/>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5"/>
      <c r="AD88" s="3"/>
      <c r="AE88" s="12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row>
    <row r="89" spans="1:32" s="36" customFormat="1" ht="18" customHeight="1">
      <c r="A89" s="3"/>
      <c r="B89" s="28"/>
      <c r="C89" s="28"/>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5"/>
      <c r="AD89" s="3"/>
      <c r="AE89" s="123"/>
      <c r="AF89" s="3"/>
    </row>
    <row r="90" spans="4:57" ht="12.95" customHeight="1">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5"/>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row>
    <row r="91" spans="1:32" s="36" customFormat="1" ht="12.95" customHeight="1">
      <c r="A91" s="3"/>
      <c r="B91" s="28"/>
      <c r="C91" s="2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5"/>
      <c r="AD91" s="3"/>
      <c r="AE91" s="123"/>
      <c r="AF91" s="3"/>
    </row>
    <row r="92" spans="4:57" ht="18" customHeight="1">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5"/>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row>
    <row r="93" spans="1:32" s="36" customFormat="1" ht="15.75">
      <c r="A93" s="3"/>
      <c r="B93" s="28"/>
      <c r="C93" s="28"/>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5"/>
      <c r="AD93" s="3"/>
      <c r="AE93" s="123"/>
      <c r="AF93" s="3"/>
    </row>
    <row r="94" spans="1:32" s="36" customFormat="1" ht="15.75">
      <c r="A94" s="3"/>
      <c r="B94" s="28"/>
      <c r="C94" s="28"/>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5"/>
      <c r="AD94" s="3"/>
      <c r="AE94" s="123"/>
      <c r="AF94" s="3"/>
    </row>
    <row r="95" spans="1:32" s="36" customFormat="1" ht="15.75">
      <c r="A95" s="3"/>
      <c r="B95" s="28"/>
      <c r="C95" s="28"/>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5"/>
      <c r="AD95" s="3"/>
      <c r="AE95" s="123"/>
      <c r="AF95" s="3"/>
    </row>
    <row r="96" spans="1:57" s="36" customFormat="1" ht="15.75">
      <c r="A96" s="3"/>
      <c r="B96" s="28"/>
      <c r="C96" s="28"/>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5"/>
      <c r="AD96" s="3"/>
      <c r="AE96" s="12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row>
    <row r="97" spans="1:57" s="36" customFormat="1" ht="15.75">
      <c r="A97" s="3"/>
      <c r="B97" s="28"/>
      <c r="C97" s="28"/>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5"/>
      <c r="AD97" s="3"/>
      <c r="AE97" s="12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row>
    <row r="98" spans="1:57" s="36" customFormat="1" ht="15.75">
      <c r="A98" s="3"/>
      <c r="B98" s="28"/>
      <c r="C98" s="2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5"/>
      <c r="AD98" s="3"/>
      <c r="AE98" s="12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row>
    <row r="99" spans="1:57" s="36" customFormat="1" ht="15.75">
      <c r="A99" s="3"/>
      <c r="B99" s="28"/>
      <c r="C99" s="28"/>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20"/>
      <c r="AD99" s="3"/>
      <c r="AE99" s="12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row>
    <row r="100" spans="4:29" ht="15.75">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6"/>
    </row>
    <row r="101" spans="4:29" ht="15.75">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28"/>
    </row>
    <row r="102" spans="4:29" ht="15.75">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6"/>
    </row>
    <row r="103" spans="4:29" ht="15.75">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6"/>
    </row>
    <row r="104" spans="4:29" ht="15.75">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6"/>
    </row>
    <row r="105" spans="4:29" ht="15.75">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6"/>
    </row>
    <row r="106" spans="4:29" ht="15.75">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6"/>
    </row>
    <row r="107" spans="4:29" ht="15.75">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6"/>
    </row>
    <row r="108" spans="4:29" ht="15.75">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6"/>
    </row>
    <row r="109" spans="4:28" ht="15.7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spans="4:28" ht="15.75">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row>
    <row r="111" spans="4:28" ht="15.75">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3" spans="4:28" ht="15.75">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4:28" ht="15.75">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4:28" ht="15.75">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4:28" ht="15.75">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4:28" ht="15.75">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4:28" ht="15.75">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4:28" ht="15.75">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sheetData>
  <mergeCells count="1">
    <mergeCell ref="AE5:AF5"/>
  </mergeCells>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75"/>
  <sheetViews>
    <sheetView zoomScale="75" zoomScaleNormal="75" workbookViewId="0" topLeftCell="A1"/>
  </sheetViews>
  <sheetFormatPr defaultColWidth="11.421875" defaultRowHeight="12.75"/>
  <cols>
    <col min="1" max="1" width="92.140625" style="3" customWidth="1"/>
    <col min="2" max="2" width="19.7109375" style="28" customWidth="1"/>
    <col min="3" max="27" width="23.421875" style="20" hidden="1" customWidth="1"/>
    <col min="28" max="28" width="4.00390625" style="3" customWidth="1"/>
    <col min="29" max="29" width="17.8515625" style="3" customWidth="1"/>
    <col min="30" max="30" width="11.421875" style="3" customWidth="1"/>
    <col min="31" max="31" width="14.28125" style="3" customWidth="1"/>
    <col min="32" max="32" width="18.8515625" style="3" customWidth="1"/>
    <col min="33" max="16384" width="11.421875" style="3" customWidth="1"/>
  </cols>
  <sheetData>
    <row r="1" spans="1:103" ht="60" customHeight="1">
      <c r="A1" s="8"/>
      <c r="B1" s="9"/>
      <c r="C1" s="18"/>
      <c r="D1" s="18"/>
      <c r="E1" s="18"/>
      <c r="F1" s="18"/>
      <c r="G1" s="18"/>
      <c r="H1" s="18"/>
      <c r="I1" s="18"/>
      <c r="J1" s="18"/>
      <c r="K1" s="18"/>
      <c r="L1" s="18"/>
      <c r="M1" s="18"/>
      <c r="N1" s="18"/>
      <c r="O1" s="18"/>
      <c r="P1" s="18"/>
      <c r="Q1" s="18"/>
      <c r="R1" s="18"/>
      <c r="S1" s="18"/>
      <c r="T1" s="18"/>
      <c r="U1" s="18"/>
      <c r="V1" s="18"/>
      <c r="W1" s="18"/>
      <c r="X1" s="18"/>
      <c r="Y1" s="18"/>
      <c r="Z1" s="18"/>
      <c r="AA1" s="18"/>
      <c r="AB1" s="9"/>
      <c r="AC1" s="9"/>
      <c r="AD1" s="9"/>
      <c r="AE1" s="10" t="s">
        <v>29</v>
      </c>
      <c r="AF1" s="11">
        <f>Balance!AF1</f>
        <v>1995</v>
      </c>
      <c r="AG1" s="50"/>
      <c r="AH1" s="50"/>
      <c r="AI1" s="50"/>
      <c r="AJ1" s="50"/>
      <c r="AK1" s="50"/>
      <c r="AL1" s="50"/>
      <c r="AM1" s="50"/>
      <c r="AN1" s="50"/>
      <c r="AO1" s="50"/>
      <c r="AP1" s="50"/>
      <c r="AQ1" s="50"/>
      <c r="AR1" s="50"/>
      <c r="AS1" s="50"/>
      <c r="AT1" s="50"/>
      <c r="AU1" s="50"/>
      <c r="AV1" s="50"/>
      <c r="AW1" s="50"/>
      <c r="AX1" s="50"/>
      <c r="AY1" s="50"/>
      <c r="AZ1" s="50"/>
      <c r="BA1" s="50"/>
      <c r="BB1" s="51"/>
      <c r="BC1" s="51"/>
      <c r="BD1" s="51"/>
      <c r="BE1" s="51"/>
      <c r="BF1" s="51"/>
      <c r="BG1" s="51"/>
      <c r="BH1" s="51"/>
      <c r="BI1" s="51"/>
      <c r="BJ1" s="51"/>
      <c r="BK1" s="51"/>
      <c r="BL1" s="51"/>
      <c r="BM1" s="51"/>
      <c r="BN1" s="51"/>
      <c r="BO1" s="51"/>
      <c r="BP1" s="51"/>
      <c r="BQ1" s="51"/>
      <c r="BR1" s="51"/>
      <c r="BS1" s="51"/>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103" ht="12.95" customHeight="1" thickBot="1">
      <c r="A2" s="8"/>
      <c r="B2" s="9"/>
      <c r="C2" s="18"/>
      <c r="D2" s="18"/>
      <c r="E2" s="18"/>
      <c r="F2" s="18"/>
      <c r="G2" s="18"/>
      <c r="H2" s="18"/>
      <c r="I2" s="18"/>
      <c r="J2" s="18"/>
      <c r="K2" s="18"/>
      <c r="L2" s="18"/>
      <c r="M2" s="18"/>
      <c r="N2" s="18"/>
      <c r="O2" s="18"/>
      <c r="P2" s="18"/>
      <c r="Q2" s="18"/>
      <c r="R2" s="18"/>
      <c r="S2" s="18"/>
      <c r="T2" s="18"/>
      <c r="U2" s="18"/>
      <c r="V2" s="18"/>
      <c r="W2" s="18"/>
      <c r="X2" s="18"/>
      <c r="Y2" s="18"/>
      <c r="Z2" s="18"/>
      <c r="AA2" s="18"/>
      <c r="AB2" s="9"/>
      <c r="AC2" s="9"/>
      <c r="AD2" s="9"/>
      <c r="AE2" s="12"/>
      <c r="AF2" s="12"/>
      <c r="AG2" s="50"/>
      <c r="AH2" s="50"/>
      <c r="AI2" s="50"/>
      <c r="AJ2" s="50"/>
      <c r="AK2" s="50"/>
      <c r="AL2" s="50"/>
      <c r="AM2" s="50"/>
      <c r="AN2" s="50"/>
      <c r="AO2" s="50"/>
      <c r="AP2" s="50"/>
      <c r="AQ2" s="50"/>
      <c r="AR2" s="50"/>
      <c r="AS2" s="50"/>
      <c r="AT2" s="50"/>
      <c r="AU2" s="50"/>
      <c r="AV2" s="50"/>
      <c r="AW2" s="50"/>
      <c r="AX2" s="50"/>
      <c r="AY2" s="50"/>
      <c r="AZ2" s="50"/>
      <c r="BA2" s="50"/>
      <c r="BB2" s="51"/>
      <c r="BC2" s="51"/>
      <c r="BD2" s="51"/>
      <c r="BE2" s="51"/>
      <c r="BF2" s="51"/>
      <c r="BG2" s="51"/>
      <c r="BH2" s="51"/>
      <c r="BI2" s="51"/>
      <c r="BJ2" s="51"/>
      <c r="BK2" s="51"/>
      <c r="BL2" s="51"/>
      <c r="BM2" s="51"/>
      <c r="BN2" s="51"/>
      <c r="BO2" s="51"/>
      <c r="BP2" s="51"/>
      <c r="BQ2" s="51"/>
      <c r="BR2" s="51"/>
      <c r="BS2" s="51"/>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row>
    <row r="3" spans="1:103" ht="33" customHeight="1">
      <c r="A3" s="76" t="str">
        <f>"                                            "&amp;"SECTOR INSTRUMENTAL"</f>
        <v xml:space="preserve">                                            SECTOR INSTRUMENTAL</v>
      </c>
      <c r="B3" s="13"/>
      <c r="C3" s="18"/>
      <c r="D3" s="18"/>
      <c r="E3" s="18"/>
      <c r="F3" s="18"/>
      <c r="G3" s="18"/>
      <c r="H3" s="18"/>
      <c r="I3" s="18"/>
      <c r="J3" s="18"/>
      <c r="K3" s="18"/>
      <c r="L3" s="18"/>
      <c r="M3" s="18"/>
      <c r="N3" s="18"/>
      <c r="O3" s="18"/>
      <c r="P3" s="18"/>
      <c r="Q3" s="18"/>
      <c r="R3" s="18"/>
      <c r="S3" s="18"/>
      <c r="T3" s="18"/>
      <c r="U3" s="18"/>
      <c r="V3" s="18"/>
      <c r="W3" s="18"/>
      <c r="X3" s="18"/>
      <c r="Y3" s="18"/>
      <c r="Z3" s="18"/>
      <c r="AA3" s="18"/>
      <c r="AB3" s="13"/>
      <c r="AC3" s="14"/>
      <c r="AD3" s="14"/>
      <c r="AE3" s="15"/>
      <c r="AF3" s="16"/>
      <c r="AG3" s="50"/>
      <c r="AH3" s="50"/>
      <c r="AI3" s="50"/>
      <c r="AJ3" s="50"/>
      <c r="AK3" s="50"/>
      <c r="AL3" s="50"/>
      <c r="AM3" s="50"/>
      <c r="AN3" s="50"/>
      <c r="AO3" s="50"/>
      <c r="AP3" s="50"/>
      <c r="AQ3" s="50"/>
      <c r="AR3" s="50"/>
      <c r="AS3" s="50"/>
      <c r="AT3" s="50"/>
      <c r="AU3" s="50"/>
      <c r="AV3" s="50"/>
      <c r="AW3" s="50"/>
      <c r="AX3" s="50"/>
      <c r="AY3" s="50"/>
      <c r="AZ3" s="50"/>
      <c r="BA3" s="50"/>
      <c r="BB3" s="52"/>
      <c r="BC3" s="52"/>
      <c r="BD3" s="52"/>
      <c r="BE3" s="52"/>
      <c r="BF3" s="52"/>
      <c r="BG3" s="52"/>
      <c r="BH3" s="52"/>
      <c r="BI3" s="52"/>
      <c r="BJ3" s="52"/>
      <c r="BK3" s="52"/>
      <c r="BL3" s="52"/>
      <c r="BM3" s="52"/>
      <c r="BN3" s="52"/>
      <c r="BO3" s="52"/>
      <c r="BP3" s="52"/>
      <c r="BQ3" s="52"/>
      <c r="BR3" s="52"/>
      <c r="BS3" s="5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row>
    <row r="4" spans="1:98" ht="20.1" customHeight="1">
      <c r="A4" s="17" t="s">
        <v>52</v>
      </c>
      <c r="B4" s="18"/>
      <c r="C4" s="46"/>
      <c r="D4" s="46"/>
      <c r="E4" s="46"/>
      <c r="F4" s="46"/>
      <c r="G4" s="46"/>
      <c r="H4" s="46"/>
      <c r="I4" s="46"/>
      <c r="J4" s="46"/>
      <c r="K4" s="46"/>
      <c r="L4" s="46"/>
      <c r="M4" s="46"/>
      <c r="N4" s="46"/>
      <c r="O4" s="46"/>
      <c r="P4" s="46"/>
      <c r="Q4" s="46"/>
      <c r="R4" s="46"/>
      <c r="S4" s="46"/>
      <c r="T4" s="46"/>
      <c r="U4" s="46"/>
      <c r="V4" s="46"/>
      <c r="W4" s="46"/>
      <c r="X4" s="46"/>
      <c r="Y4" s="46"/>
      <c r="Z4" s="46"/>
      <c r="AA4" s="46"/>
      <c r="AB4" s="3"/>
      <c r="AC4" s="3"/>
      <c r="AD4" s="3"/>
      <c r="AE4" s="3"/>
      <c r="AF4" s="50"/>
      <c r="AG4" s="50"/>
      <c r="AH4" s="50"/>
      <c r="AI4" s="50"/>
      <c r="AJ4" s="50"/>
      <c r="AK4" s="50"/>
      <c r="AL4" s="50"/>
      <c r="AM4" s="50"/>
      <c r="AN4" s="50"/>
      <c r="AO4" s="50"/>
      <c r="AP4" s="50"/>
      <c r="AQ4" s="50"/>
      <c r="AR4" s="50"/>
      <c r="AS4" s="50"/>
      <c r="AT4" s="50"/>
      <c r="AU4" s="50"/>
      <c r="AV4" s="50"/>
      <c r="AW4" s="52"/>
      <c r="AX4" s="52"/>
      <c r="AY4" s="52"/>
      <c r="AZ4" s="52"/>
      <c r="BA4" s="52"/>
      <c r="BB4" s="52"/>
      <c r="BC4" s="52"/>
      <c r="BD4" s="52"/>
      <c r="BE4" s="52"/>
      <c r="BF4" s="52"/>
      <c r="BG4" s="52"/>
      <c r="BH4" s="52"/>
      <c r="BI4" s="52"/>
      <c r="BJ4" s="52"/>
      <c r="BK4" s="52"/>
      <c r="BL4" s="52"/>
      <c r="BM4" s="52"/>
      <c r="BN4" s="5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row>
    <row r="5" spans="1:102" ht="18" customHeight="1" thickBot="1">
      <c r="A5" s="21"/>
      <c r="B5" s="22"/>
      <c r="C5" s="46"/>
      <c r="D5" s="46"/>
      <c r="E5" s="46"/>
      <c r="F5" s="46"/>
      <c r="G5" s="46"/>
      <c r="H5" s="46"/>
      <c r="I5" s="46"/>
      <c r="J5" s="46"/>
      <c r="K5" s="46"/>
      <c r="L5" s="46"/>
      <c r="M5" s="46"/>
      <c r="N5" s="46"/>
      <c r="O5" s="46"/>
      <c r="P5" s="46"/>
      <c r="Q5" s="46"/>
      <c r="R5" s="46"/>
      <c r="S5" s="46"/>
      <c r="T5" s="46"/>
      <c r="U5" s="46"/>
      <c r="V5" s="46"/>
      <c r="W5" s="46"/>
      <c r="X5" s="46"/>
      <c r="Y5" s="46"/>
      <c r="Z5" s="46"/>
      <c r="AA5" s="46"/>
      <c r="AB5" s="130"/>
      <c r="AC5" s="130"/>
      <c r="AD5" s="130"/>
      <c r="AE5" s="130"/>
      <c r="AF5" s="78">
        <f>Balance!AE5</f>
        <v>3969401</v>
      </c>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98" ht="15" customHeight="1">
      <c r="A6" s="23"/>
      <c r="B6" s="24"/>
      <c r="C6" s="46"/>
      <c r="D6" s="46"/>
      <c r="E6" s="46"/>
      <c r="F6" s="46"/>
      <c r="G6" s="46"/>
      <c r="H6" s="46"/>
      <c r="I6" s="46"/>
      <c r="J6" s="46"/>
      <c r="K6" s="46"/>
      <c r="L6" s="46"/>
      <c r="M6" s="46"/>
      <c r="N6" s="46"/>
      <c r="O6" s="46"/>
      <c r="P6" s="46"/>
      <c r="Q6" s="1"/>
      <c r="R6" s="46"/>
      <c r="S6" s="46"/>
      <c r="T6" s="46"/>
      <c r="U6" s="1"/>
      <c r="V6" s="46"/>
      <c r="W6" s="46"/>
      <c r="X6" s="46"/>
      <c r="Y6" s="46"/>
      <c r="Z6" s="46"/>
      <c r="AA6" s="46"/>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row>
    <row r="7" spans="1:103" ht="12.95" customHeight="1">
      <c r="A7" s="23"/>
      <c r="B7" s="24"/>
      <c r="C7" s="46"/>
      <c r="D7" s="46"/>
      <c r="E7" s="46"/>
      <c r="F7" s="46"/>
      <c r="G7" s="46"/>
      <c r="H7" s="46"/>
      <c r="I7" s="46"/>
      <c r="J7" s="46"/>
      <c r="K7" s="46"/>
      <c r="L7" s="46"/>
      <c r="M7" s="46"/>
      <c r="N7" s="46"/>
      <c r="O7" s="46"/>
      <c r="P7" s="46"/>
      <c r="Q7" s="46"/>
      <c r="R7" s="46"/>
      <c r="S7" s="46"/>
      <c r="T7" s="46"/>
      <c r="U7" s="46"/>
      <c r="V7" s="46"/>
      <c r="W7" s="46"/>
      <c r="X7" s="46"/>
      <c r="Y7" s="46"/>
      <c r="Z7" s="46"/>
      <c r="AA7" s="46"/>
      <c r="AB7" s="24"/>
      <c r="AC7" s="24"/>
      <c r="AD7" s="24"/>
      <c r="AE7" s="24"/>
      <c r="AF7" s="2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ht="21" customHeight="1">
      <c r="A8" s="25" t="s">
        <v>53</v>
      </c>
      <c r="B8" s="40"/>
      <c r="C8" s="46"/>
      <c r="D8" s="113"/>
      <c r="E8" s="46"/>
      <c r="F8" s="46"/>
      <c r="G8" s="46"/>
      <c r="H8" s="46"/>
      <c r="I8" s="46"/>
      <c r="J8" s="46"/>
      <c r="K8" s="46"/>
      <c r="L8" s="46"/>
      <c r="M8" s="46"/>
      <c r="N8" s="46"/>
      <c r="O8" s="46"/>
      <c r="P8" s="46"/>
      <c r="Q8" s="46"/>
      <c r="R8" s="46"/>
      <c r="S8" s="46"/>
      <c r="T8" s="46"/>
      <c r="U8" s="46"/>
      <c r="V8" s="46"/>
      <c r="W8" s="46"/>
      <c r="X8" s="46"/>
      <c r="Y8" s="46"/>
      <c r="Z8" s="46"/>
      <c r="AA8" s="46"/>
      <c r="AB8" s="24"/>
      <c r="AC8" s="25" t="s">
        <v>78</v>
      </c>
      <c r="AD8" s="24"/>
      <c r="AE8" s="24"/>
      <c r="AF8" s="2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3" ht="18" customHeight="1">
      <c r="A9" s="26"/>
      <c r="B9" s="24"/>
      <c r="C9" s="46">
        <v>21400</v>
      </c>
      <c r="D9" s="46">
        <v>21401</v>
      </c>
      <c r="E9" s="46">
        <v>21500</v>
      </c>
      <c r="F9" s="46">
        <v>21501</v>
      </c>
      <c r="G9" s="46">
        <v>21502</v>
      </c>
      <c r="H9" s="46">
        <v>21503</v>
      </c>
      <c r="I9" s="46">
        <v>22100</v>
      </c>
      <c r="J9" s="46">
        <v>22102</v>
      </c>
      <c r="K9" s="46">
        <v>22103</v>
      </c>
      <c r="L9" s="46">
        <v>22104</v>
      </c>
      <c r="M9" s="46">
        <v>22105</v>
      </c>
      <c r="N9" s="46">
        <v>22106</v>
      </c>
      <c r="O9" s="46">
        <v>22107</v>
      </c>
      <c r="P9" s="46">
        <v>22200</v>
      </c>
      <c r="Q9" s="46">
        <v>22201</v>
      </c>
      <c r="R9" s="46">
        <v>22202</v>
      </c>
      <c r="S9" s="46">
        <v>22205</v>
      </c>
      <c r="T9" s="46">
        <v>22206</v>
      </c>
      <c r="U9" s="46">
        <v>22231</v>
      </c>
      <c r="V9" s="46">
        <v>22233</v>
      </c>
      <c r="W9" s="46">
        <v>22234</v>
      </c>
      <c r="X9" s="46">
        <v>22235</v>
      </c>
      <c r="Y9" s="46">
        <v>22236</v>
      </c>
      <c r="Z9" s="46">
        <v>22240</v>
      </c>
      <c r="AA9" s="46">
        <v>22901</v>
      </c>
      <c r="AB9" s="24"/>
      <c r="AC9" s="25" t="s">
        <v>79</v>
      </c>
      <c r="AD9" s="24"/>
      <c r="AE9" s="24"/>
      <c r="AF9" s="2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row>
    <row r="10" spans="1:103" ht="12.95" customHeight="1">
      <c r="A10" s="25"/>
      <c r="B10" s="24"/>
      <c r="C10" s="46" t="s">
        <v>214</v>
      </c>
      <c r="D10" s="46" t="s">
        <v>214</v>
      </c>
      <c r="E10" s="46" t="s">
        <v>24</v>
      </c>
      <c r="F10" s="46" t="s">
        <v>214</v>
      </c>
      <c r="G10" s="46" t="s">
        <v>200</v>
      </c>
      <c r="H10" s="46" t="s">
        <v>200</v>
      </c>
      <c r="I10" s="46" t="s">
        <v>97</v>
      </c>
      <c r="J10" s="46" t="s">
        <v>97</v>
      </c>
      <c r="K10" s="46" t="s">
        <v>97</v>
      </c>
      <c r="L10" s="46" t="s">
        <v>97</v>
      </c>
      <c r="M10" s="46" t="s">
        <v>97</v>
      </c>
      <c r="N10" s="46" t="s">
        <v>97</v>
      </c>
      <c r="O10" s="46" t="s">
        <v>97</v>
      </c>
      <c r="P10" s="46" t="s">
        <v>97</v>
      </c>
      <c r="Q10" s="46" t="s">
        <v>97</v>
      </c>
      <c r="R10" s="46" t="s">
        <v>97</v>
      </c>
      <c r="S10" s="46" t="s">
        <v>97</v>
      </c>
      <c r="T10" s="46" t="s">
        <v>97</v>
      </c>
      <c r="U10" s="46" t="s">
        <v>192</v>
      </c>
      <c r="V10" s="46" t="s">
        <v>192</v>
      </c>
      <c r="W10" s="46" t="s">
        <v>192</v>
      </c>
      <c r="X10" s="46" t="s">
        <v>208</v>
      </c>
      <c r="Y10" s="46" t="s">
        <v>192</v>
      </c>
      <c r="Z10" s="46" t="s">
        <v>192</v>
      </c>
      <c r="AA10" s="46" t="s">
        <v>98</v>
      </c>
      <c r="AB10" s="24"/>
      <c r="AC10" s="24"/>
      <c r="AD10" s="24"/>
      <c r="AE10" s="24"/>
      <c r="AF10" s="2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32" ht="18" customHeight="1" thickBot="1">
      <c r="A11" s="27" t="s">
        <v>30</v>
      </c>
      <c r="B11" s="20"/>
      <c r="C11" s="46" t="s">
        <v>0</v>
      </c>
      <c r="D11" s="46" t="s">
        <v>1</v>
      </c>
      <c r="E11" s="46" t="s">
        <v>2</v>
      </c>
      <c r="F11" s="46" t="s">
        <v>3</v>
      </c>
      <c r="G11" s="46" t="s">
        <v>4</v>
      </c>
      <c r="H11" s="46" t="s">
        <v>5</v>
      </c>
      <c r="I11" s="46" t="s">
        <v>6</v>
      </c>
      <c r="J11" s="46" t="s">
        <v>8</v>
      </c>
      <c r="K11" s="46" t="s">
        <v>9</v>
      </c>
      <c r="L11" s="46" t="s">
        <v>10</v>
      </c>
      <c r="M11" s="46" t="s">
        <v>11</v>
      </c>
      <c r="N11" s="46" t="s">
        <v>12</v>
      </c>
      <c r="O11" s="46" t="s">
        <v>13</v>
      </c>
      <c r="P11" s="46" t="s">
        <v>14</v>
      </c>
      <c r="Q11" s="46" t="s">
        <v>96</v>
      </c>
      <c r="R11" s="46" t="s">
        <v>15</v>
      </c>
      <c r="S11" s="46" t="s">
        <v>212</v>
      </c>
      <c r="T11" s="46" t="s">
        <v>213</v>
      </c>
      <c r="U11" s="46" t="s">
        <v>210</v>
      </c>
      <c r="V11" s="46" t="s">
        <v>196</v>
      </c>
      <c r="W11" s="46" t="s">
        <v>197</v>
      </c>
      <c r="X11" s="46" t="s">
        <v>199</v>
      </c>
      <c r="Y11" s="46" t="s">
        <v>204</v>
      </c>
      <c r="Z11" s="46" t="s">
        <v>211</v>
      </c>
      <c r="AA11" s="46" t="s">
        <v>25</v>
      </c>
      <c r="AB11" s="20"/>
      <c r="AC11" s="24"/>
      <c r="AD11" s="20"/>
      <c r="AF11" s="56"/>
    </row>
    <row r="12" spans="1:32" ht="33" customHeight="1">
      <c r="A12" s="57" t="s">
        <v>35</v>
      </c>
      <c r="B12" s="30">
        <f>AF1</f>
        <v>1995</v>
      </c>
      <c r="C12" s="46"/>
      <c r="D12" s="46"/>
      <c r="E12" s="46"/>
      <c r="F12" s="46"/>
      <c r="G12" s="46"/>
      <c r="H12" s="46"/>
      <c r="I12" s="113"/>
      <c r="J12" s="113"/>
      <c r="K12" s="113"/>
      <c r="L12" s="113"/>
      <c r="M12" s="113"/>
      <c r="N12" s="113"/>
      <c r="O12" s="113"/>
      <c r="P12" s="113"/>
      <c r="Q12" s="113"/>
      <c r="R12" s="113"/>
      <c r="S12" s="113"/>
      <c r="T12" s="113"/>
      <c r="U12" s="113"/>
      <c r="V12" s="113"/>
      <c r="W12" s="113"/>
      <c r="X12" s="113"/>
      <c r="Y12" s="113"/>
      <c r="Z12" s="113"/>
      <c r="AA12" s="113"/>
      <c r="AB12" s="20"/>
      <c r="AC12" s="108" t="s">
        <v>78</v>
      </c>
      <c r="AD12" s="108"/>
      <c r="AE12" s="58"/>
      <c r="AF12" s="30">
        <f>AF1</f>
        <v>1995</v>
      </c>
    </row>
    <row r="13" spans="1:32" ht="18" customHeight="1">
      <c r="A13" s="59" t="s">
        <v>103</v>
      </c>
      <c r="B13" s="60"/>
      <c r="C13" s="46"/>
      <c r="D13" s="46"/>
      <c r="E13" s="46"/>
      <c r="F13" s="46"/>
      <c r="G13" s="46"/>
      <c r="H13" s="46"/>
      <c r="I13" s="113"/>
      <c r="J13" s="113"/>
      <c r="K13" s="113"/>
      <c r="L13" s="113"/>
      <c r="M13" s="113"/>
      <c r="N13" s="113"/>
      <c r="O13" s="113"/>
      <c r="P13" s="113"/>
      <c r="Q13" s="113"/>
      <c r="R13" s="113"/>
      <c r="S13" s="113"/>
      <c r="T13" s="113"/>
      <c r="U13" s="113"/>
      <c r="V13" s="113"/>
      <c r="W13" s="113"/>
      <c r="X13" s="113"/>
      <c r="Y13" s="113"/>
      <c r="Z13" s="113"/>
      <c r="AA13" s="113"/>
      <c r="AB13" s="20"/>
      <c r="AC13" s="61" t="s">
        <v>36</v>
      </c>
      <c r="AD13" s="62"/>
      <c r="AE13" s="63"/>
      <c r="AF13" s="62"/>
    </row>
    <row r="14" spans="1:32" s="36" customFormat="1" ht="18" customHeight="1">
      <c r="A14" s="35" t="s">
        <v>99</v>
      </c>
      <c r="B14" s="48">
        <f>+C14+D14+E14+F14+G14+H14++I14+J14+K14+L14+M14+N14+O14+P14+Q14+R14+S14+T14++U14+V14+W14+X14+Y14+Z14+AA14</f>
        <v>39260479.65</v>
      </c>
      <c r="C14" s="47">
        <f>'[20]2111'!$L$6+'[20]2111'!$L$7+'[20]2111'!$L$8+'[20]2111'!$L$11</f>
        <v>0</v>
      </c>
      <c r="D14" s="47">
        <f>'[21]2111'!$L$6+'[21]2111'!$L$7+'[21]2111'!$L$8+'[21]2111'!$L$11</f>
        <v>0</v>
      </c>
      <c r="E14" s="47">
        <f>'[22]2110'!$L$10+0.02</f>
        <v>23301377.54</v>
      </c>
      <c r="F14" s="47">
        <f>'[23]2111'!$L$6+'[23]2111'!$L$7+'[23]2111'!$L$8+'[23]2111'!$L$11</f>
        <v>15959102.11</v>
      </c>
      <c r="G14" s="47">
        <f>'[24]2111'!$L$7+'[24]2111'!$L$6+'[24]2111'!$L$11</f>
        <v>0</v>
      </c>
      <c r="H14" s="47">
        <f>'[25]2111'!$L$7+'[25]2111'!$L$6+'[25]2111'!$L$11</f>
        <v>0</v>
      </c>
      <c r="I14" s="47"/>
      <c r="J14" s="47"/>
      <c r="K14" s="47"/>
      <c r="L14" s="47"/>
      <c r="M14" s="47"/>
      <c r="N14" s="47"/>
      <c r="O14" s="47"/>
      <c r="P14" s="47"/>
      <c r="Q14" s="47"/>
      <c r="R14" s="47"/>
      <c r="S14" s="47"/>
      <c r="T14" s="47"/>
      <c r="U14" s="47"/>
      <c r="V14" s="47"/>
      <c r="W14" s="47"/>
      <c r="X14" s="47"/>
      <c r="Y14" s="47"/>
      <c r="Z14" s="47"/>
      <c r="AA14" s="47"/>
      <c r="AB14" s="35"/>
      <c r="AC14" s="35"/>
      <c r="AD14" s="20"/>
      <c r="AE14" s="65"/>
      <c r="AF14" s="20"/>
    </row>
    <row r="15" spans="1:32" s="36" customFormat="1" ht="18" customHeight="1">
      <c r="A15" s="35" t="s">
        <v>33</v>
      </c>
      <c r="B15" s="48">
        <f aca="true" t="shared" si="0" ref="B15:B58">+C15+D15+E15+F15+G15+H15++I15+J15+K15+L15+M15+N15+O15+P15+Q15+R15+S15+T15++U15+V15+W15+X15+Y15+Z15+AA15</f>
        <v>240362069.1</v>
      </c>
      <c r="C15" s="47">
        <f aca="true" t="shared" si="1" ref="C15:I15">C16+C17</f>
        <v>8826338.3</v>
      </c>
      <c r="D15" s="47">
        <f aca="true" t="shared" si="2" ref="D15:F15">D16+D17</f>
        <v>4326062.89</v>
      </c>
      <c r="E15" s="47">
        <f t="shared" si="1"/>
        <v>120169611.62</v>
      </c>
      <c r="F15" s="47">
        <f t="shared" si="2"/>
        <v>53297290.85</v>
      </c>
      <c r="G15" s="47">
        <f t="shared" si="1"/>
        <v>36643106.62</v>
      </c>
      <c r="H15" s="47">
        <f aca="true" t="shared" si="3" ref="H15">H16+H17</f>
        <v>17099658.82</v>
      </c>
      <c r="I15" s="47">
        <f t="shared" si="1"/>
        <v>0</v>
      </c>
      <c r="J15" s="47">
        <f aca="true" t="shared" si="4" ref="J15:T15">J16+J17</f>
        <v>0</v>
      </c>
      <c r="K15" s="47">
        <f t="shared" si="4"/>
        <v>0</v>
      </c>
      <c r="L15" s="47">
        <f t="shared" si="4"/>
        <v>0</v>
      </c>
      <c r="M15" s="47">
        <f t="shared" si="4"/>
        <v>0</v>
      </c>
      <c r="N15" s="47">
        <f t="shared" si="4"/>
        <v>0</v>
      </c>
      <c r="O15" s="47">
        <f t="shared" si="4"/>
        <v>0</v>
      </c>
      <c r="P15" s="47">
        <f t="shared" si="4"/>
        <v>0</v>
      </c>
      <c r="Q15" s="47">
        <f t="shared" si="4"/>
        <v>0</v>
      </c>
      <c r="R15" s="47">
        <f t="shared" si="4"/>
        <v>0</v>
      </c>
      <c r="S15" s="47">
        <f t="shared" si="4"/>
        <v>0</v>
      </c>
      <c r="T15" s="47">
        <f t="shared" si="4"/>
        <v>0</v>
      </c>
      <c r="U15" s="47">
        <f aca="true" t="shared" si="5" ref="U15:AA15">U16+U17</f>
        <v>0</v>
      </c>
      <c r="V15" s="47">
        <f aca="true" t="shared" si="6" ref="V15">V16+V17</f>
        <v>0</v>
      </c>
      <c r="W15" s="47">
        <f t="shared" si="5"/>
        <v>0</v>
      </c>
      <c r="X15" s="47">
        <f t="shared" si="5"/>
        <v>0</v>
      </c>
      <c r="Y15" s="47">
        <f t="shared" si="5"/>
        <v>0</v>
      </c>
      <c r="Z15" s="47">
        <f t="shared" si="5"/>
        <v>0</v>
      </c>
      <c r="AA15" s="47">
        <f t="shared" si="5"/>
        <v>0</v>
      </c>
      <c r="AB15" s="35"/>
      <c r="AC15" s="35" t="s">
        <v>37</v>
      </c>
      <c r="AF15" s="67">
        <f>IF((Balance!AE43+Balance!AE56)=0,"--",Balance!B52/(Balance!AE43+Balance!AE56))</f>
        <v>0.12118010689133382</v>
      </c>
    </row>
    <row r="16" spans="1:32" s="36" customFormat="1" ht="18" customHeight="1">
      <c r="A16" s="66" t="s">
        <v>100</v>
      </c>
      <c r="B16" s="48">
        <f t="shared" si="0"/>
        <v>208987536.39</v>
      </c>
      <c r="C16" s="47">
        <f>'[20]2111'!$L$19+'[20]2111'!$L$10</f>
        <v>8826338.3</v>
      </c>
      <c r="D16" s="47">
        <f>'[21]2111'!$L$9+'[21]2111'!$L$10</f>
        <v>4326062.89</v>
      </c>
      <c r="E16" s="47">
        <f>'[22]2110'!$L$23+'[22]2110'!$L$24</f>
        <v>88795078.91</v>
      </c>
      <c r="F16" s="47">
        <f>'[23]2111'!$L$9+'[23]2111'!$L$10</f>
        <v>53297290.85</v>
      </c>
      <c r="G16" s="47">
        <f>'[24]2111'!$L$9+'[24]2111'!$L$10</f>
        <v>36643106.62</v>
      </c>
      <c r="H16" s="47">
        <f>'[25]2111'!$L$9+'[25]2111'!$L$10</f>
        <v>17099658.82</v>
      </c>
      <c r="I16" s="47"/>
      <c r="J16" s="47"/>
      <c r="K16" s="47"/>
      <c r="L16" s="47"/>
      <c r="M16" s="47"/>
      <c r="N16" s="47"/>
      <c r="O16" s="47"/>
      <c r="P16" s="47"/>
      <c r="Q16" s="47"/>
      <c r="R16" s="47"/>
      <c r="S16" s="47"/>
      <c r="T16" s="47"/>
      <c r="U16" s="47"/>
      <c r="V16" s="47"/>
      <c r="W16" s="47"/>
      <c r="X16" s="47"/>
      <c r="Y16" s="47"/>
      <c r="Z16" s="47"/>
      <c r="AA16" s="47"/>
      <c r="AB16" s="35"/>
      <c r="AC16" s="35" t="s">
        <v>38</v>
      </c>
      <c r="AF16" s="67">
        <f>IF((Balance!AE43+Balance!AE56)=0,"--",(Balance!B43-Balance!B45-Balance!B46)/(Balance!AE43+Balance!AE56))</f>
        <v>1.0667146160958725</v>
      </c>
    </row>
    <row r="17" spans="1:32" s="36" customFormat="1" ht="18" customHeight="1">
      <c r="A17" s="66" t="s">
        <v>101</v>
      </c>
      <c r="B17" s="48">
        <f t="shared" si="0"/>
        <v>31374532.71</v>
      </c>
      <c r="C17" s="47"/>
      <c r="D17" s="47"/>
      <c r="E17" s="47">
        <f>'[22]2110'!$L$25+'[22]2110'!$L$26</f>
        <v>31374532.71</v>
      </c>
      <c r="F17" s="47"/>
      <c r="G17" s="47"/>
      <c r="H17" s="47"/>
      <c r="I17" s="47"/>
      <c r="J17" s="47"/>
      <c r="K17" s="47"/>
      <c r="L17" s="47"/>
      <c r="M17" s="47"/>
      <c r="N17" s="47"/>
      <c r="O17" s="47"/>
      <c r="P17" s="47"/>
      <c r="Q17" s="47"/>
      <c r="R17" s="47"/>
      <c r="S17" s="47"/>
      <c r="T17" s="47"/>
      <c r="U17" s="47"/>
      <c r="V17" s="47"/>
      <c r="W17" s="47"/>
      <c r="X17" s="47"/>
      <c r="Y17" s="47"/>
      <c r="Z17" s="47"/>
      <c r="AA17" s="47"/>
      <c r="AB17" s="35"/>
      <c r="AC17" s="35" t="s">
        <v>39</v>
      </c>
      <c r="AF17" s="67">
        <f>IF((Balance!AE43+Balance!AE56)=0,"--",Balance!B43/(Balance!AE43+Balance!AE56))</f>
        <v>1.3662447278431302</v>
      </c>
    </row>
    <row r="18" spans="1:32" s="36" customFormat="1" ht="18" customHeight="1">
      <c r="A18" s="35" t="s">
        <v>22</v>
      </c>
      <c r="B18" s="48">
        <f t="shared" si="0"/>
        <v>105866550.02000001</v>
      </c>
      <c r="C18" s="47"/>
      <c r="D18" s="47"/>
      <c r="E18" s="47"/>
      <c r="F18" s="47"/>
      <c r="G18" s="47"/>
      <c r="H18" s="47"/>
      <c r="I18" s="47" t="str">
        <f>'[1]2201'!$L$4</f>
        <v>565.569,68</v>
      </c>
      <c r="J18" s="47" t="str">
        <f>'[2]2201'!$L$4</f>
        <v>13.660.632,51</v>
      </c>
      <c r="K18" s="47" t="str">
        <f>'[3]2201'!$L$4</f>
        <v>956.703,59</v>
      </c>
      <c r="L18" s="47" t="str">
        <f>'[4]2201'!$L$4</f>
        <v>1.906.007,72</v>
      </c>
      <c r="M18" s="47" t="str">
        <f>'[5]2201'!$L$4</f>
        <v>24.196,75</v>
      </c>
      <c r="N18" s="47" t="str">
        <f>'[6]2201'!$L$4</f>
        <v>0,00</v>
      </c>
      <c r="O18" s="47" t="str">
        <f>'[7]2201'!$L$4</f>
        <v>5.631.060,67</v>
      </c>
      <c r="P18" s="47" t="str">
        <f>'[8]2201'!$L$4</f>
        <v>16.685.316,07</v>
      </c>
      <c r="Q18" s="47" t="str">
        <f>'[9]2201'!$L$4</f>
        <v>8.129.326,90</v>
      </c>
      <c r="R18" s="47" t="str">
        <f>'[10]2201'!$L$4</f>
        <v>23.132.108,47</v>
      </c>
      <c r="S18" s="47" t="str">
        <f>'[11]2201'!$L$4</f>
        <v>3.053.856,69</v>
      </c>
      <c r="T18" s="47" t="str">
        <f>'[12]2201'!$L$4</f>
        <v>0,00</v>
      </c>
      <c r="U18" s="47" t="str">
        <f>'[13]2211'!$L$5</f>
        <v>0,00</v>
      </c>
      <c r="V18" s="47" t="str">
        <f>'[14]2211'!$L$5</f>
        <v>0,00</v>
      </c>
      <c r="W18" s="47" t="str">
        <f>'[15]2211'!$L$5</f>
        <v>0,00</v>
      </c>
      <c r="X18" s="47" t="str">
        <f>'[16]2211'!$L$5</f>
        <v>462.387,93</v>
      </c>
      <c r="Y18" s="47" t="str">
        <f>'[17]2211'!$L$5</f>
        <v>0,00</v>
      </c>
      <c r="Z18" s="47" t="str">
        <f>'[18]2211'!$L$5</f>
        <v>0,00</v>
      </c>
      <c r="AA18" s="47" t="str">
        <f>'[19]2291'!$L$4</f>
        <v>31.659.383,04</v>
      </c>
      <c r="AB18" s="35"/>
      <c r="AC18" s="35" t="s">
        <v>40</v>
      </c>
      <c r="AF18" s="68">
        <f>Balance!B43-Balance!AE43-Balance!AE56</f>
        <v>166460762.82999992</v>
      </c>
    </row>
    <row r="19" spans="1:32" s="36" customFormat="1" ht="18" customHeight="1">
      <c r="A19" s="35" t="s">
        <v>102</v>
      </c>
      <c r="B19" s="48">
        <f t="shared" si="0"/>
        <v>34105241.839999996</v>
      </c>
      <c r="C19" s="47">
        <f>'[20]2111'!$L$4+0.01</f>
        <v>3424543.4499999997</v>
      </c>
      <c r="D19" s="47" t="str">
        <f>'[21]2111'!$L$4</f>
        <v>35.321,97</v>
      </c>
      <c r="E19" s="47" t="str">
        <f>'[22]2110'!$L$4</f>
        <v>1.850.263,84</v>
      </c>
      <c r="F19" s="47" t="str">
        <f>'[23]2111'!$L$4</f>
        <v>10.850.010,29</v>
      </c>
      <c r="G19" s="47" t="str">
        <f>'[24]2111'!$L$4</f>
        <v>16.314.410,26</v>
      </c>
      <c r="H19" s="47" t="str">
        <f>'[25]2111'!$L$4</f>
        <v>1.630.692,03</v>
      </c>
      <c r="I19" s="47"/>
      <c r="J19" s="47"/>
      <c r="K19" s="47"/>
      <c r="L19" s="47"/>
      <c r="M19" s="47"/>
      <c r="N19" s="47"/>
      <c r="O19" s="47"/>
      <c r="P19" s="47"/>
      <c r="Q19" s="47"/>
      <c r="R19" s="47"/>
      <c r="S19" s="47"/>
      <c r="T19" s="47"/>
      <c r="U19" s="47"/>
      <c r="V19" s="47"/>
      <c r="W19" s="47"/>
      <c r="X19" s="47"/>
      <c r="Y19" s="47"/>
      <c r="Z19" s="47"/>
      <c r="AA19" s="47"/>
      <c r="AB19" s="35"/>
      <c r="AC19" s="35" t="s">
        <v>41</v>
      </c>
      <c r="AF19" s="69" t="str">
        <f>IF((B14+B15+B18+B19+B20+B22+B23)=0,"--",INT((Balance!B47+Balance!B48+Balance!B49)/(B14+B15+B18+B19+B20+B22+B23)*365)&amp;"  días")</f>
        <v>289  días</v>
      </c>
    </row>
    <row r="20" spans="1:32" s="36" customFormat="1" ht="18" customHeight="1">
      <c r="A20" s="35" t="s">
        <v>23</v>
      </c>
      <c r="B20" s="48">
        <f t="shared" si="0"/>
        <v>0</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35"/>
      <c r="AC20" s="35" t="s">
        <v>42</v>
      </c>
      <c r="AF20" s="69" t="str">
        <f>IF((-B34-B38-B46-B47)=0,"--",(INT((Balance!AE43-Balance!AE52)/(-B34-B38-B46-B47)*365)&amp;"  días"))</f>
        <v>247  días</v>
      </c>
    </row>
    <row r="21" spans="1:32" s="36" customFormat="1" ht="18" customHeight="1">
      <c r="A21" s="35" t="s">
        <v>73</v>
      </c>
      <c r="B21" s="48">
        <f t="shared" si="0"/>
        <v>15459423.860000001</v>
      </c>
      <c r="C21" s="47"/>
      <c r="D21" s="47"/>
      <c r="E21" s="47">
        <f>'[22]2110'!$L$8-'[22]2110'!$D$4</f>
        <v>0</v>
      </c>
      <c r="F21" s="47"/>
      <c r="G21" s="47"/>
      <c r="H21" s="47"/>
      <c r="I21" s="47">
        <f>'[1]2201'!$L$9-'[1]2201'!$D$4</f>
        <v>0</v>
      </c>
      <c r="J21" s="47">
        <f>'[2]2201'!$L$9-'[2]2201'!$D$4</f>
        <v>0</v>
      </c>
      <c r="K21" s="47">
        <f>'[3]2201'!$L$9-'[3]2201'!$D$4</f>
        <v>0</v>
      </c>
      <c r="L21" s="47">
        <f>'[4]2201'!$L$9-'[4]2201'!$D$4</f>
        <v>0</v>
      </c>
      <c r="M21" s="47">
        <f>'[5]2201'!$L$9-'[5]2201'!$D$4</f>
        <v>-6300337.77</v>
      </c>
      <c r="N21" s="47">
        <f>'[6]2201'!$L$9-'[6]2201'!$D$4</f>
        <v>0</v>
      </c>
      <c r="O21" s="47">
        <f>'[7]2201'!$L$9-'[7]2201'!$D$4</f>
        <v>0</v>
      </c>
      <c r="P21" s="47">
        <f>'[8]2201'!$L$9-'[8]2201'!$D$4</f>
        <v>7547371.77</v>
      </c>
      <c r="Q21" s="47">
        <f>'[9]2201'!$L$9-'[9]2201'!$D$4</f>
        <v>0</v>
      </c>
      <c r="R21" s="47">
        <f>'[10]2201'!$L$9-'[10]2201'!$D$4</f>
        <v>12115388.31</v>
      </c>
      <c r="S21" s="47">
        <f>'[11]2201'!$L$9-'[11]2201'!$D$4</f>
        <v>0</v>
      </c>
      <c r="T21" s="47">
        <f>'[12]2201'!$L$9-'[12]2201'!$D$4</f>
        <v>0</v>
      </c>
      <c r="U21" s="47"/>
      <c r="V21" s="47"/>
      <c r="W21" s="47"/>
      <c r="X21" s="47"/>
      <c r="Y21" s="47"/>
      <c r="Z21" s="47"/>
      <c r="AA21" s="47">
        <f>'[19]2291'!$L$5-'[19]2291'!$D$4</f>
        <v>2097001.55</v>
      </c>
      <c r="AB21" s="35"/>
      <c r="AC21" s="35" t="s">
        <v>43</v>
      </c>
      <c r="AF21" s="69" t="str">
        <f>IF((-B25-B26-B29-B31-B33)=0,"--",(INT((+Balance!AE47+Balance!AE48+Balance!AE49+Balance!AE50+Balance!AE51+Balance!AE53)/(-B25-B26-B29-B31-B33)*365)&amp;"  días"))</f>
        <v>191  días</v>
      </c>
    </row>
    <row r="22" spans="1:29" s="36" customFormat="1" ht="18" customHeight="1">
      <c r="A22" s="35" t="s">
        <v>201</v>
      </c>
      <c r="B22" s="48">
        <f t="shared" si="0"/>
        <v>30241153.700000003</v>
      </c>
      <c r="C22" s="47">
        <f>+'[20]2111'!$L$12+'[20]2111'!$L$13</f>
        <v>177790.01</v>
      </c>
      <c r="D22" s="47">
        <f>+'[21]2111'!$L$12+'[21]2111'!$L$13</f>
        <v>1905082.77</v>
      </c>
      <c r="E22" s="47">
        <f>'[22]2110'!$L$12+'[22]2110'!$L$13+'[22]2110'!$L$11</f>
        <v>504862.18</v>
      </c>
      <c r="F22" s="47">
        <f>+'[23]2111'!$L$12+'[23]2111'!$L$13</f>
        <v>2252046.37</v>
      </c>
      <c r="G22" s="47">
        <f>'[24]2111'!$L$8+'[24]2111'!$L$12++'[24]2111'!$L$13</f>
        <v>157413.42</v>
      </c>
      <c r="H22" s="47">
        <f>'[25]2111'!$L$8+'[25]2111'!$L$12++'[25]2111'!$L$13</f>
        <v>12388.68</v>
      </c>
      <c r="I22" s="47">
        <f>'[1]2201'!$L$10+'[1]2201'!$L$11</f>
        <v>698374.69</v>
      </c>
      <c r="J22" s="47">
        <f>'[2]2201'!$L$10+'[2]2201'!$L$11</f>
        <v>911999.81</v>
      </c>
      <c r="K22" s="47">
        <f>'[3]2201'!$L$10+'[3]2201'!$L$11</f>
        <v>0</v>
      </c>
      <c r="L22" s="47">
        <f>'[4]2201'!$L$10+'[4]2201'!$L$11</f>
        <v>1003678.19</v>
      </c>
      <c r="M22" s="47">
        <f>'[5]2201'!$L$10+'[5]2201'!$L$11</f>
        <v>148107.41</v>
      </c>
      <c r="N22" s="47">
        <f>'[6]2201'!$L$10+'[6]2201'!$L$11</f>
        <v>0</v>
      </c>
      <c r="O22" s="47">
        <f>'[7]2201'!$L$10+'[7]2201'!$L$11</f>
        <v>7781418.5</v>
      </c>
      <c r="P22" s="47">
        <f>'[8]2201'!$L$10+'[8]2201'!$L$11</f>
        <v>389173.37</v>
      </c>
      <c r="Q22" s="47">
        <f>'[9]2201'!$L$10+'[9]2201'!$L$11</f>
        <v>0</v>
      </c>
      <c r="R22" s="47">
        <f>'[10]2201'!$L$10+'[10]2201'!$L$11</f>
        <v>5998797.97</v>
      </c>
      <c r="S22" s="47">
        <f>'[11]2201'!$L$10+'[11]2201'!$L$11</f>
        <v>4610063.35</v>
      </c>
      <c r="T22" s="47">
        <f>'[12]2201'!$L$10+'[12]2201'!$L$11</f>
        <v>121019.8</v>
      </c>
      <c r="U22" s="47" t="str">
        <f>'[13]2211'!$L$6</f>
        <v>0,00</v>
      </c>
      <c r="V22" s="47" t="str">
        <f>'[14]2211'!$L$6</f>
        <v>0,00</v>
      </c>
      <c r="W22" s="47" t="str">
        <f>'[15]2211'!$L$6</f>
        <v>3.768,35</v>
      </c>
      <c r="X22" s="47" t="str">
        <f>'[16]2211'!$L$6</f>
        <v>245.751,23</v>
      </c>
      <c r="Y22" s="47" t="str">
        <f>'[17]2211'!$L$6</f>
        <v>0,00</v>
      </c>
      <c r="Z22" s="47" t="str">
        <f>'[18]2211'!$L$6</f>
        <v>0,00</v>
      </c>
      <c r="AA22" s="47">
        <f>'[19]2291'!$L$6+'[19]2291'!$L$7</f>
        <v>3319417.6</v>
      </c>
      <c r="AB22" s="35"/>
      <c r="AC22" s="35"/>
    </row>
    <row r="23" spans="1:32" s="36" customFormat="1" ht="18" customHeight="1">
      <c r="A23" s="35" t="s">
        <v>152</v>
      </c>
      <c r="B23" s="48">
        <f t="shared" si="0"/>
        <v>0</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35"/>
      <c r="AC23" s="61" t="s">
        <v>44</v>
      </c>
      <c r="AD23" s="61"/>
      <c r="AE23" s="61"/>
      <c r="AF23" s="61"/>
    </row>
    <row r="24" spans="1:32" s="36" customFormat="1" ht="18" customHeight="1">
      <c r="A24" s="71" t="s">
        <v>203</v>
      </c>
      <c r="B24" s="119">
        <f t="shared" si="0"/>
        <v>465294918.17</v>
      </c>
      <c r="C24" s="47">
        <f>C14+C15+C18+C19+C20+C21+C22+C23</f>
        <v>12428671.76</v>
      </c>
      <c r="D24" s="47">
        <f>D14+D15+D18+D19+D20+D21+D22+D23</f>
        <v>6266467.629999999</v>
      </c>
      <c r="E24" s="47">
        <f aca="true" t="shared" si="7" ref="E24:AA24">E14+E15+E18+E19+E20+E21+E22+E23</f>
        <v>145826115.18</v>
      </c>
      <c r="F24" s="47">
        <f>F14+F15+F18+F19+F20+F21+F22+F23</f>
        <v>82358449.62</v>
      </c>
      <c r="G24" s="47">
        <f t="shared" si="7"/>
        <v>53114930.3</v>
      </c>
      <c r="H24" s="47">
        <f aca="true" t="shared" si="8" ref="H24">H14+H15+H18+H19+H20+H21+H22+H23</f>
        <v>18742739.53</v>
      </c>
      <c r="I24" s="47">
        <f t="shared" si="7"/>
        <v>1263944.37</v>
      </c>
      <c r="J24" s="47">
        <f aca="true" t="shared" si="9" ref="J24:T24">J14+J15+J18+J19+J20+J21+J22+J23</f>
        <v>14572632.32</v>
      </c>
      <c r="K24" s="47">
        <f t="shared" si="9"/>
        <v>956703.59</v>
      </c>
      <c r="L24" s="47">
        <f t="shared" si="9"/>
        <v>2909685.91</v>
      </c>
      <c r="M24" s="47">
        <f t="shared" si="9"/>
        <v>-6128033.609999999</v>
      </c>
      <c r="N24" s="47">
        <f t="shared" si="9"/>
        <v>0</v>
      </c>
      <c r="O24" s="47">
        <f t="shared" si="9"/>
        <v>13412479.17</v>
      </c>
      <c r="P24" s="47">
        <f t="shared" si="9"/>
        <v>24621861.21</v>
      </c>
      <c r="Q24" s="47">
        <f t="shared" si="9"/>
        <v>8129326.9</v>
      </c>
      <c r="R24" s="47">
        <f t="shared" si="9"/>
        <v>41246294.75</v>
      </c>
      <c r="S24" s="47">
        <f t="shared" si="9"/>
        <v>7663920.039999999</v>
      </c>
      <c r="T24" s="47">
        <f t="shared" si="9"/>
        <v>121019.8</v>
      </c>
      <c r="U24" s="47">
        <f aca="true" t="shared" si="10" ref="U24:V24">U14+U15+U18+U19+U20+U21+U22+U23</f>
        <v>0</v>
      </c>
      <c r="V24" s="47">
        <f t="shared" si="10"/>
        <v>0</v>
      </c>
      <c r="W24" s="47">
        <f t="shared" si="7"/>
        <v>3768.35</v>
      </c>
      <c r="X24" s="47">
        <f aca="true" t="shared" si="11" ref="X24">X14+X15+X18+X19+X20+X21+X22+X23</f>
        <v>708139.16</v>
      </c>
      <c r="Y24" s="47">
        <f t="shared" si="7"/>
        <v>0</v>
      </c>
      <c r="Z24" s="47">
        <f aca="true" t="shared" si="12" ref="Z24">Z14+Z15+Z18+Z19+Z20+Z21+Z22+Z23</f>
        <v>0</v>
      </c>
      <c r="AA24" s="47">
        <f t="shared" si="7"/>
        <v>37075802.19</v>
      </c>
      <c r="AB24" s="35"/>
      <c r="AC24" s="35"/>
      <c r="AD24" s="35"/>
      <c r="AE24" s="35"/>
      <c r="AF24" s="35"/>
    </row>
    <row r="25" spans="1:32" s="36" customFormat="1" ht="18" customHeight="1">
      <c r="A25" s="35" t="s">
        <v>202</v>
      </c>
      <c r="B25" s="48">
        <f t="shared" si="0"/>
        <v>-304290388.50000006</v>
      </c>
      <c r="C25" s="47">
        <f>-'[20]2111'!$D$5-'[20]2111'!$D$9</f>
        <v>-4483013.23</v>
      </c>
      <c r="D25" s="47">
        <f>-'[21]2111'!$D$5-'[21]2111'!$D$9</f>
        <v>-4361947.24</v>
      </c>
      <c r="E25" s="47">
        <f>-'[22]2110'!$D$11-('[22]2110'!$D$12+'[22]2110'!$D$13)</f>
        <v>-92046782.78</v>
      </c>
      <c r="F25" s="47">
        <f>-'[23]2111'!$D$5-'[23]2111'!$D$9</f>
        <v>-61936898.57</v>
      </c>
      <c r="G25" s="47">
        <f>-'[24]2111'!$D$5</f>
        <v>-39879918.56</v>
      </c>
      <c r="H25" s="47">
        <f>-'[25]2111'!$D$5</f>
        <v>-15591113.93</v>
      </c>
      <c r="I25" s="47">
        <f>-'[1]2201'!$D$11-'[1]2201'!$D$12</f>
        <v>-3533449.0700000003</v>
      </c>
      <c r="J25" s="47">
        <f>-'[2]2201'!$D$11-'[2]2201'!$D$12</f>
        <v>-27825856.740000002</v>
      </c>
      <c r="K25" s="47">
        <f>-'[3]2201'!$D$11-'[3]2201'!$D$12</f>
        <v>-1440665.51</v>
      </c>
      <c r="L25" s="47">
        <f>-'[4]2201'!$D$11-'[4]2201'!$D$12</f>
        <v>-2915263.3</v>
      </c>
      <c r="M25" s="47">
        <f>-'[5]2201'!$D$11-'[5]2201'!$D$12</f>
        <v>-2320087.0300000003</v>
      </c>
      <c r="N25" s="47">
        <f>-'[6]2201'!$D$11-'[6]2201'!$D$12</f>
        <v>-850792.73</v>
      </c>
      <c r="O25" s="47">
        <f>-'[7]2201'!$D$11-'[7]2201'!$D$12</f>
        <v>-1765273.8</v>
      </c>
      <c r="P25" s="47">
        <f>-'[8]2201'!$D$11-'[8]2201'!$D$12</f>
        <v>-8537833.709999999</v>
      </c>
      <c r="Q25" s="47">
        <f>-'[9]2201'!$D$11-'[9]2201'!$D$12</f>
        <v>-5139784.08</v>
      </c>
      <c r="R25" s="47">
        <f>-'[10]2201'!$D$11-'[10]2201'!$D$12</f>
        <v>-4474889.72</v>
      </c>
      <c r="S25" s="47">
        <f>-'[11]2201'!$D$11-'[11]2201'!$D$12</f>
        <v>-1851393.75</v>
      </c>
      <c r="T25" s="47">
        <f>-'[12]2201'!$D$11-'[12]2201'!$D$12</f>
        <v>-384533.56000000006</v>
      </c>
      <c r="U25" s="47">
        <f>-'[13]2211'!$D$10-'[13]2211'!$D$11</f>
        <v>0</v>
      </c>
      <c r="V25" s="47">
        <f>-'[14]2211'!$D$10-'[14]2211'!$D$11</f>
        <v>-53814.63</v>
      </c>
      <c r="W25" s="47">
        <f>-'[15]2211'!$D$10-'[15]2211'!$D$11</f>
        <v>0</v>
      </c>
      <c r="X25" s="47">
        <f>-'[16]2211'!$D$10-'[16]2211'!$D$11</f>
        <v>-255052.49</v>
      </c>
      <c r="Y25" s="47">
        <f>-'[17]2211'!$D$10-'[17]2211'!$D$11</f>
        <v>0</v>
      </c>
      <c r="Z25" s="47">
        <f>-'[18]2211'!$D$10-'[18]2211'!$D$11</f>
        <v>-69374.83</v>
      </c>
      <c r="AA25" s="47">
        <f>-'[19]2291'!$D$7-'[19]2291'!$D$8</f>
        <v>-24572649.240000002</v>
      </c>
      <c r="AB25" s="35"/>
      <c r="AC25" s="35" t="s">
        <v>45</v>
      </c>
      <c r="AF25" s="68">
        <f>(Balance!AE31+Balance!AE33+Balance!AE43+Balance!AE56)/Cuenta!AF5</f>
        <v>177.0002749382086</v>
      </c>
    </row>
    <row r="26" spans="1:32" s="36" customFormat="1" ht="18" customHeight="1">
      <c r="A26" s="35" t="s">
        <v>153</v>
      </c>
      <c r="B26" s="48">
        <f t="shared" si="0"/>
        <v>-4513684.720000001</v>
      </c>
      <c r="C26" s="47">
        <f aca="true" t="shared" si="13" ref="C26:G26">C27+C28</f>
        <v>-2040125.74</v>
      </c>
      <c r="D26" s="47">
        <f aca="true" t="shared" si="14" ref="D26:F26">D27+D28</f>
        <v>-123437.18</v>
      </c>
      <c r="E26" s="47">
        <f t="shared" si="13"/>
        <v>-1090302.07</v>
      </c>
      <c r="F26" s="47">
        <f t="shared" si="14"/>
        <v>-776890.29</v>
      </c>
      <c r="G26" s="47">
        <f t="shared" si="13"/>
        <v>0</v>
      </c>
      <c r="H26" s="47">
        <f aca="true" t="shared" si="15" ref="H26">H27+H28</f>
        <v>-482929.44</v>
      </c>
      <c r="I26" s="47">
        <f aca="true" t="shared" si="16" ref="I26">I27+I28</f>
        <v>0</v>
      </c>
      <c r="J26" s="47">
        <f aca="true" t="shared" si="17" ref="J26:T26">J27+J28</f>
        <v>0</v>
      </c>
      <c r="K26" s="47">
        <f t="shared" si="17"/>
        <v>0</v>
      </c>
      <c r="L26" s="47">
        <f t="shared" si="17"/>
        <v>0</v>
      </c>
      <c r="M26" s="47">
        <f t="shared" si="17"/>
        <v>0</v>
      </c>
      <c r="N26" s="47">
        <f t="shared" si="17"/>
        <v>0</v>
      </c>
      <c r="O26" s="47">
        <f t="shared" si="17"/>
        <v>0</v>
      </c>
      <c r="P26" s="47">
        <f t="shared" si="17"/>
        <v>0</v>
      </c>
      <c r="Q26" s="47">
        <f t="shared" si="17"/>
        <v>0</v>
      </c>
      <c r="R26" s="47">
        <f t="shared" si="17"/>
        <v>0</v>
      </c>
      <c r="S26" s="47">
        <f t="shared" si="17"/>
        <v>0</v>
      </c>
      <c r="T26" s="47">
        <f t="shared" si="17"/>
        <v>0</v>
      </c>
      <c r="U26" s="47">
        <f aca="true" t="shared" si="18" ref="U26:V26">U27+U28</f>
        <v>0</v>
      </c>
      <c r="V26" s="47">
        <f t="shared" si="18"/>
        <v>0</v>
      </c>
      <c r="W26" s="47">
        <f aca="true" t="shared" si="19" ref="W26">W27+W28</f>
        <v>0</v>
      </c>
      <c r="X26" s="47">
        <f>X27+X28</f>
        <v>0</v>
      </c>
      <c r="Y26" s="47">
        <f>Y27+Y28</f>
        <v>0</v>
      </c>
      <c r="Z26" s="47">
        <f>Z27+Z28</f>
        <v>0</v>
      </c>
      <c r="AA26" s="47">
        <f>AA27+AA28</f>
        <v>0</v>
      </c>
      <c r="AB26" s="35"/>
      <c r="AC26" s="35" t="s">
        <v>46</v>
      </c>
      <c r="AF26" s="67">
        <f>(Balance!AE31+Balance!AE33+Balance!AE43+Balance!AE56)/Balance!AE58</f>
        <v>0.42109924513564034</v>
      </c>
    </row>
    <row r="27" spans="1:32" s="36" customFormat="1" ht="18" customHeight="1">
      <c r="A27" s="66" t="s">
        <v>100</v>
      </c>
      <c r="B27" s="48">
        <f t="shared" si="0"/>
        <v>-4169539.17</v>
      </c>
      <c r="C27" s="47">
        <f>-'[20]2111'!$D$11-'[20]2111'!$D$10</f>
        <v>-1895882.83</v>
      </c>
      <c r="D27" s="47">
        <f>-'[21]2111'!$D$11-'[21]2111'!$D$10</f>
        <v>-123437.18</v>
      </c>
      <c r="E27" s="47">
        <f>-('[22]2110'!$D$28+'[22]2110'!$D$29)</f>
        <v>-890399.43</v>
      </c>
      <c r="F27" s="47">
        <f>-'[23]2111'!$D$11-'[23]2111'!$D$10</f>
        <v>-776890.29</v>
      </c>
      <c r="G27" s="47">
        <f>-'[24]2111'!$D$11-'[24]2111'!$D$10</f>
        <v>0</v>
      </c>
      <c r="H27" s="47">
        <f>-'[25]2111'!$D$11-'[25]2111'!$D$10</f>
        <v>-482929.44</v>
      </c>
      <c r="I27" s="47"/>
      <c r="J27" s="47"/>
      <c r="K27" s="47"/>
      <c r="L27" s="47"/>
      <c r="M27" s="47"/>
      <c r="N27" s="47"/>
      <c r="O27" s="47"/>
      <c r="P27" s="47"/>
      <c r="Q27" s="47"/>
      <c r="R27" s="47"/>
      <c r="S27" s="47"/>
      <c r="T27" s="47"/>
      <c r="U27" s="47"/>
      <c r="V27" s="47"/>
      <c r="W27" s="47"/>
      <c r="X27" s="47"/>
      <c r="Y27" s="47"/>
      <c r="Z27" s="47"/>
      <c r="AA27" s="47"/>
      <c r="AB27" s="70"/>
      <c r="AC27" s="35" t="s">
        <v>47</v>
      </c>
      <c r="AF27" s="67">
        <f>IF((Balance!AE31+Balance!AE33)=0,"--",(Balance!AE43+Balance!AE56)/(Balance!AE31+Balance!AE33))</f>
        <v>1.8321118568453816</v>
      </c>
    </row>
    <row r="28" spans="1:32" s="36" customFormat="1" ht="18" customHeight="1">
      <c r="A28" s="66" t="s">
        <v>101</v>
      </c>
      <c r="B28" s="48">
        <f t="shared" si="0"/>
        <v>-344145.55000000005</v>
      </c>
      <c r="C28" s="47">
        <f>-'[20]2111'!$D$12</f>
        <v>-144242.91</v>
      </c>
      <c r="D28" s="47">
        <f>-'[21]2111'!$D$12</f>
        <v>0</v>
      </c>
      <c r="E28" s="47">
        <f>-('[22]2110'!$D$30+'[22]2110'!$D$31)</f>
        <v>-199902.64</v>
      </c>
      <c r="F28" s="47">
        <f>-'[23]2111'!$D$12</f>
        <v>0</v>
      </c>
      <c r="G28" s="47">
        <f>-'[24]2111'!$D$12</f>
        <v>0</v>
      </c>
      <c r="H28" s="47">
        <f>-'[25]2111'!$D$12</f>
        <v>0</v>
      </c>
      <c r="I28" s="47"/>
      <c r="J28" s="47"/>
      <c r="K28" s="47"/>
      <c r="L28" s="47"/>
      <c r="M28" s="47"/>
      <c r="N28" s="47"/>
      <c r="O28" s="47"/>
      <c r="P28" s="47"/>
      <c r="Q28" s="47"/>
      <c r="R28" s="47"/>
      <c r="S28" s="47"/>
      <c r="T28" s="47"/>
      <c r="U28" s="47"/>
      <c r="V28" s="47"/>
      <c r="W28" s="47"/>
      <c r="X28" s="47"/>
      <c r="Y28" s="47"/>
      <c r="Z28" s="47"/>
      <c r="AA28" s="47"/>
      <c r="AB28" s="70"/>
      <c r="AC28" s="35" t="s">
        <v>80</v>
      </c>
      <c r="AF28" s="67">
        <f>(Balance!B13+Balance!B31+Balance!B33+Balance!B15)/(Balance!AE13+Balance!AE25+Balance!AE27+Balance!AE29)</f>
        <v>1.0845014411194074</v>
      </c>
    </row>
    <row r="29" spans="1:32" s="36" customFormat="1" ht="18" customHeight="1">
      <c r="A29" s="35" t="s">
        <v>154</v>
      </c>
      <c r="B29" s="48">
        <f t="shared" si="0"/>
        <v>-133681330.69999999</v>
      </c>
      <c r="C29" s="47">
        <f>-'[20]2111'!$D$4</f>
        <v>-2078059.69</v>
      </c>
      <c r="D29" s="47">
        <f>-'[21]2111'!$D$4</f>
        <v>-947.89</v>
      </c>
      <c r="E29" s="47">
        <f>-'[22]2110'!$D$5</f>
        <v>0</v>
      </c>
      <c r="F29" s="47">
        <f>-'[23]2111'!$D$4</f>
        <v>118711.89</v>
      </c>
      <c r="G29" s="47">
        <f>-'[24]2111'!$D$4</f>
        <v>-861738.64</v>
      </c>
      <c r="H29" s="47">
        <f>-'[25]2111'!$D$4</f>
        <v>0</v>
      </c>
      <c r="I29" s="47">
        <f>-'[1]2201'!$D$5</f>
        <v>-29108051.34</v>
      </c>
      <c r="J29" s="47">
        <f>-'[2]2201'!$D$5</f>
        <v>-1390369.38</v>
      </c>
      <c r="K29" s="47">
        <f>-'[3]2201'!$D$5</f>
        <v>-1194711.95</v>
      </c>
      <c r="L29" s="47">
        <f>-'[4]2201'!$D$5</f>
        <v>-4939904.8</v>
      </c>
      <c r="M29" s="47">
        <f>-'[5]2201'!$D$5</f>
        <v>-2284747.51</v>
      </c>
      <c r="N29" s="47">
        <f>-'[6]2201'!$D$5</f>
        <v>0</v>
      </c>
      <c r="O29" s="47">
        <f>-'[7]2201'!$D$5</f>
        <v>-2335689.46</v>
      </c>
      <c r="P29" s="47">
        <f>-'[8]2201'!$D$5</f>
        <v>-11031330.76</v>
      </c>
      <c r="Q29" s="47">
        <f>-'[9]2201'!$D$5</f>
        <v>-1802772.62</v>
      </c>
      <c r="R29" s="47">
        <f>-'[10]2201'!$D$5</f>
        <v>-26442002.33</v>
      </c>
      <c r="S29" s="47">
        <f>-'[11]2201'!$D$5</f>
        <v>-2762576.18</v>
      </c>
      <c r="T29" s="47">
        <f>-'[12]2201'!$D$5</f>
        <v>-3690.21</v>
      </c>
      <c r="U29" s="47">
        <f>-'[13]2211'!$D$5</f>
        <v>0</v>
      </c>
      <c r="V29" s="47">
        <f>-'[14]2211'!$D$5</f>
        <v>4663.85</v>
      </c>
      <c r="W29" s="47">
        <f>-'[15]2211'!$D$5</f>
        <v>0</v>
      </c>
      <c r="X29" s="47">
        <f>-'[16]2211'!$D$5</f>
        <v>-53989.75</v>
      </c>
      <c r="Y29" s="47">
        <f>-'[17]2211'!$D$5</f>
        <v>0</v>
      </c>
      <c r="Z29" s="47">
        <f>-'[18]2211'!$D$5</f>
        <v>0</v>
      </c>
      <c r="AA29" s="47">
        <f>-'[19]2291'!$D$5</f>
        <v>-47514123.93</v>
      </c>
      <c r="AB29" s="70"/>
      <c r="AC29" s="36" t="s">
        <v>81</v>
      </c>
      <c r="AF29" s="67">
        <f>Balance!B58/(Balance!AE31+Balance!AE33+Balance!AE43+Balance!AE56)</f>
        <v>2.3747370995117545</v>
      </c>
    </row>
    <row r="30" spans="1:32" s="36" customFormat="1" ht="18" customHeight="1">
      <c r="A30" s="35" t="s">
        <v>155</v>
      </c>
      <c r="B30" s="48">
        <f t="shared" si="0"/>
        <v>-6844153.739999999</v>
      </c>
      <c r="C30" s="47"/>
      <c r="D30" s="47"/>
      <c r="E30" s="47">
        <f>-'[22]2110'!$D$15</f>
        <v>0</v>
      </c>
      <c r="F30" s="47"/>
      <c r="G30" s="47">
        <f>-'[24]2111'!$D$10</f>
        <v>0</v>
      </c>
      <c r="H30" s="47">
        <f>-'[25]2111'!$D$10</f>
        <v>0</v>
      </c>
      <c r="I30" s="47">
        <f>-'[1]2201'!$D$14</f>
        <v>0</v>
      </c>
      <c r="J30" s="47">
        <f>-'[2]2201'!$D$14</f>
        <v>41445.79</v>
      </c>
      <c r="K30" s="47">
        <f>-'[3]2201'!$D$14</f>
        <v>-32026.52</v>
      </c>
      <c r="L30" s="47">
        <f>-'[4]2201'!$D$14</f>
        <v>0</v>
      </c>
      <c r="M30" s="47">
        <f>-'[5]2201'!$D$14</f>
        <v>0</v>
      </c>
      <c r="N30" s="47">
        <f>-'[6]2201'!$D$14</f>
        <v>0</v>
      </c>
      <c r="O30" s="47">
        <f>-'[7]2201'!$D$14</f>
        <v>-656161.52</v>
      </c>
      <c r="P30" s="47">
        <f>-'[8]2201'!$D$14</f>
        <v>-704193.86</v>
      </c>
      <c r="Q30" s="47">
        <f>-'[9]2201'!$D$14</f>
        <v>-180199.96</v>
      </c>
      <c r="R30" s="47">
        <f>-'[10]2201'!$D$14</f>
        <v>-24004.42</v>
      </c>
      <c r="S30" s="47">
        <f>-'[11]2201'!$D$14</f>
        <v>-19731.23</v>
      </c>
      <c r="T30" s="47">
        <f>-'[12]2201'!$D$14</f>
        <v>-595</v>
      </c>
      <c r="U30" s="47">
        <f>-'[13]2211'!$D$13</f>
        <v>0</v>
      </c>
      <c r="V30" s="47">
        <f>-'[14]2211'!$D$13</f>
        <v>0</v>
      </c>
      <c r="W30" s="47">
        <f>-'[15]2211'!$D$13</f>
        <v>0</v>
      </c>
      <c r="X30" s="47">
        <f>-'[16]2211'!$D$13</f>
        <v>0</v>
      </c>
      <c r="Y30" s="47">
        <f>-'[17]2211'!$D$13</f>
        <v>0</v>
      </c>
      <c r="Z30" s="47">
        <f>-'[18]2211'!$D$13</f>
        <v>-57853.43</v>
      </c>
      <c r="AA30" s="47">
        <f>-'[19]2291'!$D$10</f>
        <v>-5210833.59</v>
      </c>
      <c r="AB30" s="70"/>
      <c r="AC30" s="35" t="s">
        <v>82</v>
      </c>
      <c r="AF30" s="67">
        <f>IF((Balance!AE33+Balance!AE31)=0,"--",(Balance!B19+Balance!B23)/(Balance!AE33+Balance!AE31))</f>
        <v>3.68703833752478</v>
      </c>
    </row>
    <row r="31" spans="1:32" s="36" customFormat="1" ht="18" customHeight="1">
      <c r="A31" s="35" t="s">
        <v>156</v>
      </c>
      <c r="B31" s="48">
        <f t="shared" si="0"/>
        <v>-128281300.01</v>
      </c>
      <c r="C31" s="47">
        <f>-'[20]2111'!$D$8-'[20]2111'!$D$7</f>
        <v>-6900239.090000001</v>
      </c>
      <c r="D31" s="47">
        <f>-'[21]2111'!$D$8-'[21]2111'!$D$7</f>
        <v>-1249618.3599999999</v>
      </c>
      <c r="E31" s="47">
        <f>-'[22]2110'!$D$18</f>
        <v>-24607154.45</v>
      </c>
      <c r="F31" s="47">
        <f>-'[23]2111'!$D$8-'[23]2111'!$D$7</f>
        <v>-14376518.83</v>
      </c>
      <c r="G31" s="47">
        <f>-'[24]2111'!$D$7-'[24]2111'!$D$8</f>
        <v>-11884667.32</v>
      </c>
      <c r="H31" s="47">
        <f>-'[25]2111'!$D$7-'[25]2111'!$D$8</f>
        <v>-3017889.31</v>
      </c>
      <c r="I31" s="47">
        <f>-'[1]2201'!$D$18</f>
        <v>-2928283.8</v>
      </c>
      <c r="J31" s="47">
        <f>-'[2]2201'!$D$18</f>
        <v>-9404138.57</v>
      </c>
      <c r="K31" s="47">
        <f>-'[3]2201'!$D$18</f>
        <v>-3088426</v>
      </c>
      <c r="L31" s="47">
        <f>-'[4]2201'!$D$18</f>
        <v>-3514340.15</v>
      </c>
      <c r="M31" s="47">
        <f>-'[5]2201'!$D$18</f>
        <v>-11004778.05</v>
      </c>
      <c r="N31" s="47">
        <f>-'[6]2201'!$D$18</f>
        <v>-373889.63</v>
      </c>
      <c r="O31" s="47">
        <f>-'[7]2201'!$D$18</f>
        <v>-7876159.89</v>
      </c>
      <c r="P31" s="47">
        <f>-'[8]2201'!$D$18</f>
        <v>-2341897.76</v>
      </c>
      <c r="Q31" s="47">
        <f>-'[9]2201'!$D$18</f>
        <v>-1447894.53</v>
      </c>
      <c r="R31" s="47">
        <f>-'[10]2201'!$D$18</f>
        <v>-3413418.2</v>
      </c>
      <c r="S31" s="47">
        <f>-'[11]2201'!$D$18</f>
        <v>-2952207.52</v>
      </c>
      <c r="T31" s="47">
        <f>-'[12]2201'!$D$18</f>
        <v>-1143677.95</v>
      </c>
      <c r="U31" s="47">
        <f>-'[13]2211'!$D$17</f>
        <v>0</v>
      </c>
      <c r="V31" s="47">
        <f>-'[14]2211'!$D$17</f>
        <v>-19166.28</v>
      </c>
      <c r="W31" s="47">
        <f>-'[15]2211'!$D$17</f>
        <v>-923797.68</v>
      </c>
      <c r="X31" s="47">
        <f>-'[16]2211'!$D$17</f>
        <v>-413988.92</v>
      </c>
      <c r="Y31" s="47">
        <f>-'[17]2211'!$D$17</f>
        <v>0</v>
      </c>
      <c r="Z31" s="47">
        <f>-'[18]2211'!$D$17</f>
        <v>-27712.67</v>
      </c>
      <c r="AA31" s="47">
        <f>-'[19]2291'!$D$11</f>
        <v>-15371435.05</v>
      </c>
      <c r="AB31" s="70"/>
      <c r="AC31" s="36" t="s">
        <v>83</v>
      </c>
      <c r="AF31" s="67">
        <f>(B58-B32-B39-B48-B49-B51)/Balance!B58</f>
        <v>-0.054728334248659305</v>
      </c>
    </row>
    <row r="32" spans="1:32" s="36" customFormat="1" ht="18" customHeight="1">
      <c r="A32" s="35" t="s">
        <v>157</v>
      </c>
      <c r="B32" s="48">
        <f t="shared" si="0"/>
        <v>-59725765.55</v>
      </c>
      <c r="C32" s="47">
        <f>-'[20]2111'!$D$13</f>
        <v>-401158.02</v>
      </c>
      <c r="D32" s="47">
        <f>-'[21]2111'!$D$13</f>
        <v>-515504.13</v>
      </c>
      <c r="E32" s="47">
        <f>-'[22]2110'!$D$14</f>
        <v>-10015782.58</v>
      </c>
      <c r="F32" s="47">
        <f>-'[23]2111'!$D$13</f>
        <v>-7837143.35</v>
      </c>
      <c r="G32" s="47">
        <f>-'[24]2111'!$D$13</f>
        <v>-14461227.61</v>
      </c>
      <c r="H32" s="47">
        <f>-'[25]2111'!$D$13</f>
        <v>-95422.74</v>
      </c>
      <c r="I32" s="47">
        <f>-'[1]2201'!$D$13</f>
        <v>-1079560.83</v>
      </c>
      <c r="J32" s="47">
        <f>-'[2]2201'!$D$13</f>
        <v>-14003804.41</v>
      </c>
      <c r="K32" s="47">
        <f>-'[3]2201'!$D$13-0.01</f>
        <v>-254816.45</v>
      </c>
      <c r="L32" s="47">
        <f>-'[4]2201'!$D$13</f>
        <v>-202985.83</v>
      </c>
      <c r="M32" s="47">
        <f>-'[5]2201'!$D$13</f>
        <v>-2888091.55</v>
      </c>
      <c r="N32" s="47">
        <f>-'[6]2201'!$D$13</f>
        <v>-57871.46</v>
      </c>
      <c r="O32" s="47">
        <f>-'[7]2201'!$D$13</f>
        <v>-158788.54</v>
      </c>
      <c r="P32" s="47">
        <f>-'[8]2201'!$D$13</f>
        <v>-1131483.42</v>
      </c>
      <c r="Q32" s="47">
        <f>-'[9]2201'!$D$13-0.01</f>
        <v>-246955.97</v>
      </c>
      <c r="R32" s="47">
        <f>-'[10]2201'!$D$13</f>
        <v>-240879.64</v>
      </c>
      <c r="S32" s="47">
        <f>-'[11]2201'!$D$13</f>
        <v>-108458.64</v>
      </c>
      <c r="T32" s="47">
        <f>-'[12]2201'!$D$13</f>
        <v>-1104798.48</v>
      </c>
      <c r="U32" s="47">
        <f>-'[13]2211'!$D$12</f>
        <v>0</v>
      </c>
      <c r="V32" s="47">
        <f>-'[14]2211'!$D$12</f>
        <v>-5222.8</v>
      </c>
      <c r="W32" s="47">
        <f>-'[15]2211'!$D$12</f>
        <v>0</v>
      </c>
      <c r="X32" s="47">
        <f>-'[16]2211'!$D$12</f>
        <v>-33324.7</v>
      </c>
      <c r="Y32" s="47">
        <f>-'[17]2211'!$D$12</f>
        <v>0</v>
      </c>
      <c r="Z32" s="47">
        <f>-'[18]2211'!$D$12</f>
        <v>-13432.62</v>
      </c>
      <c r="AA32" s="47">
        <f>-'[19]2291'!$D$9</f>
        <v>-4869051.78</v>
      </c>
      <c r="AB32" s="70"/>
      <c r="AC32" s="36" t="s">
        <v>84</v>
      </c>
      <c r="AF32" s="67">
        <f>(Balance!B13+Balance!B15+Balance!B31+Balance!B33)/(Balance!AE13+Balance!AE25+Balance!AE27+Balance!AE29+Balance!AE31+Balance!AE33)</f>
        <v>0.8628765191020209</v>
      </c>
    </row>
    <row r="33" spans="1:32" s="36" customFormat="1" ht="18" customHeight="1">
      <c r="A33" s="35" t="s">
        <v>158</v>
      </c>
      <c r="B33" s="48">
        <f t="shared" si="0"/>
        <v>0</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70"/>
      <c r="AC33" s="36" t="s">
        <v>85</v>
      </c>
      <c r="AF33" s="67">
        <f>(Balance!AE13+Balance!AE25+Balance!AE27+Balance!AE29)/(Balance!AE31+Balance!AE33+Balance!AE43+Balance!AE56)</f>
        <v>1.374737099511755</v>
      </c>
    </row>
    <row r="34" spans="1:32" s="36" customFormat="1" ht="18" customHeight="1">
      <c r="A34" s="71" t="s">
        <v>159</v>
      </c>
      <c r="B34" s="119">
        <f t="shared" si="0"/>
        <v>-637336623.2199999</v>
      </c>
      <c r="C34" s="47">
        <f>C25+C26+C29+C30+C31+C32+C33</f>
        <v>-15902595.77</v>
      </c>
      <c r="D34" s="47">
        <f>D25+D26+D29+D30+D31+D32+D33</f>
        <v>-6251454.8</v>
      </c>
      <c r="E34" s="47">
        <f aca="true" t="shared" si="20" ref="E34:AA34">E25+E26+E29+E30+E31+E32+E33</f>
        <v>-127760021.88</v>
      </c>
      <c r="F34" s="47">
        <f>F25+F26+F29+F30+F31+F32+F33</f>
        <v>-84808739.14999999</v>
      </c>
      <c r="G34" s="47">
        <f t="shared" si="20"/>
        <v>-67087552.13</v>
      </c>
      <c r="H34" s="47">
        <f aca="true" t="shared" si="21" ref="H34">H25+H26+H29+H30+H31+H32+H33</f>
        <v>-19187355.419999998</v>
      </c>
      <c r="I34" s="47">
        <f t="shared" si="20"/>
        <v>-36649345.04</v>
      </c>
      <c r="J34" s="47">
        <f aca="true" t="shared" si="22" ref="J34:T34">J25+J26+J29+J30+J31+J32+J33</f>
        <v>-52582723.31</v>
      </c>
      <c r="K34" s="47">
        <f t="shared" si="22"/>
        <v>-6010646.430000001</v>
      </c>
      <c r="L34" s="47">
        <f t="shared" si="22"/>
        <v>-11572494.08</v>
      </c>
      <c r="M34" s="47">
        <f t="shared" si="22"/>
        <v>-18497704.14</v>
      </c>
      <c r="N34" s="47">
        <f t="shared" si="22"/>
        <v>-1282553.8199999998</v>
      </c>
      <c r="O34" s="47">
        <f t="shared" si="22"/>
        <v>-12792073.209999997</v>
      </c>
      <c r="P34" s="47">
        <f t="shared" si="22"/>
        <v>-23746739.509999998</v>
      </c>
      <c r="Q34" s="47">
        <f t="shared" si="22"/>
        <v>-8817607.16</v>
      </c>
      <c r="R34" s="47">
        <f t="shared" si="22"/>
        <v>-34595194.31</v>
      </c>
      <c r="S34" s="47">
        <f t="shared" si="22"/>
        <v>-7694367.319999999</v>
      </c>
      <c r="T34" s="47">
        <f t="shared" si="22"/>
        <v>-2637295.2</v>
      </c>
      <c r="U34" s="47">
        <f aca="true" t="shared" si="23" ref="U34:V34">U25+U26+U29+U30+U31+U32+U33</f>
        <v>0</v>
      </c>
      <c r="V34" s="47">
        <f t="shared" si="23"/>
        <v>-73539.86</v>
      </c>
      <c r="W34" s="47">
        <f t="shared" si="20"/>
        <v>-923797.68</v>
      </c>
      <c r="X34" s="47">
        <f aca="true" t="shared" si="24" ref="X34">X25+X26+X29+X30+X31+X32+X33</f>
        <v>-756355.8599999999</v>
      </c>
      <c r="Y34" s="47">
        <f t="shared" si="20"/>
        <v>0</v>
      </c>
      <c r="Z34" s="47">
        <f aca="true" t="shared" si="25" ref="Z34">Z25+Z26+Z29+Z30+Z31+Z32+Z33</f>
        <v>-168373.55</v>
      </c>
      <c r="AA34" s="47">
        <f t="shared" si="20"/>
        <v>-97538093.59</v>
      </c>
      <c r="AB34" s="70"/>
      <c r="AC34" s="36" t="s">
        <v>86</v>
      </c>
      <c r="AF34" s="67">
        <f>(Balance!AE43+Balance!AE56)/(Balance!AE31+Balance!AE33+Balance!AE43+Balance!AE56)</f>
        <v>0.6469066016644289</v>
      </c>
    </row>
    <row r="35" spans="1:28" s="36" customFormat="1" ht="18" customHeight="1">
      <c r="A35" s="74" t="s">
        <v>54</v>
      </c>
      <c r="B35" s="124">
        <f t="shared" si="0"/>
        <v>-172041705.05</v>
      </c>
      <c r="C35" s="47">
        <f>C24+C34</f>
        <v>-3473924.01</v>
      </c>
      <c r="D35" s="47">
        <f>D24+D34</f>
        <v>15012.829999999143</v>
      </c>
      <c r="E35" s="47">
        <f aca="true" t="shared" si="26" ref="E35:AA35">E24+E34</f>
        <v>18066093.300000012</v>
      </c>
      <c r="F35" s="47">
        <f>F24+F34</f>
        <v>-2450289.5299999863</v>
      </c>
      <c r="G35" s="47">
        <f t="shared" si="26"/>
        <v>-13972621.830000006</v>
      </c>
      <c r="H35" s="47">
        <f aca="true" t="shared" si="27" ref="H35">H24+H34</f>
        <v>-444615.88999999687</v>
      </c>
      <c r="I35" s="47">
        <f t="shared" si="26"/>
        <v>-35385400.67</v>
      </c>
      <c r="J35" s="47">
        <f aca="true" t="shared" si="28" ref="J35:T35">J24+J34</f>
        <v>-38010090.99</v>
      </c>
      <c r="K35" s="47">
        <f t="shared" si="28"/>
        <v>-5053942.840000001</v>
      </c>
      <c r="L35" s="47">
        <f t="shared" si="28"/>
        <v>-8662808.17</v>
      </c>
      <c r="M35" s="47">
        <f t="shared" si="28"/>
        <v>-24625737.75</v>
      </c>
      <c r="N35" s="47">
        <f t="shared" si="28"/>
        <v>-1282553.8199999998</v>
      </c>
      <c r="O35" s="47">
        <f t="shared" si="28"/>
        <v>620405.9600000028</v>
      </c>
      <c r="P35" s="47">
        <f t="shared" si="28"/>
        <v>875121.700000003</v>
      </c>
      <c r="Q35" s="47">
        <f t="shared" si="28"/>
        <v>-688280.2599999998</v>
      </c>
      <c r="R35" s="47">
        <f t="shared" si="28"/>
        <v>6651100.439999998</v>
      </c>
      <c r="S35" s="47">
        <f t="shared" si="28"/>
        <v>-30447.28000000026</v>
      </c>
      <c r="T35" s="47">
        <f t="shared" si="28"/>
        <v>-2516275.4000000004</v>
      </c>
      <c r="U35" s="47">
        <f aca="true" t="shared" si="29" ref="U35:V35">U24+U34</f>
        <v>0</v>
      </c>
      <c r="V35" s="47">
        <f t="shared" si="29"/>
        <v>-73539.86</v>
      </c>
      <c r="W35" s="47">
        <f t="shared" si="26"/>
        <v>-920029.3300000001</v>
      </c>
      <c r="X35" s="47">
        <f aca="true" t="shared" si="30" ref="X35">X24+X34</f>
        <v>-48216.69999999984</v>
      </c>
      <c r="Y35" s="47">
        <f t="shared" si="26"/>
        <v>0</v>
      </c>
      <c r="Z35" s="47">
        <f aca="true" t="shared" si="31" ref="Z35">Z24+Z34</f>
        <v>-168373.55</v>
      </c>
      <c r="AA35" s="47">
        <f t="shared" si="26"/>
        <v>-60462291.400000006</v>
      </c>
      <c r="AB35" s="70"/>
    </row>
    <row r="36" spans="1:28" s="36" customFormat="1" ht="18" customHeight="1">
      <c r="A36" s="35" t="s">
        <v>160</v>
      </c>
      <c r="B36" s="48">
        <f t="shared" si="0"/>
        <v>30930863.78999999</v>
      </c>
      <c r="C36" s="47"/>
      <c r="D36" s="47"/>
      <c r="E36" s="47"/>
      <c r="F36" s="47"/>
      <c r="G36" s="47"/>
      <c r="H36" s="47"/>
      <c r="I36" s="47" t="str">
        <f>'[1]2201'!$L$34</f>
        <v>1.063.037,00</v>
      </c>
      <c r="J36" s="47" t="str">
        <f>'[2]2201'!$L$34</f>
        <v>8.849.614,75</v>
      </c>
      <c r="K36" s="47" t="str">
        <f>'[3]2201'!$L$34</f>
        <v>254.816,44</v>
      </c>
      <c r="L36" s="47" t="str">
        <f>'[4]2201'!$L$34</f>
        <v>202.985,83</v>
      </c>
      <c r="M36" s="47" t="str">
        <f>'[5]2201'!$L$34</f>
        <v>12.192.582,31</v>
      </c>
      <c r="N36" s="47" t="str">
        <f>'[6]2201'!$L$34</f>
        <v>23.950,33</v>
      </c>
      <c r="O36" s="47" t="str">
        <f>'[7]2201'!$L$34</f>
        <v>220.895,20</v>
      </c>
      <c r="P36" s="47" t="str">
        <f>'[8]2201'!$L$34</f>
        <v>47.612,18</v>
      </c>
      <c r="Q36" s="47" t="str">
        <f>'[9]2201'!$L$34</f>
        <v>24.317,35</v>
      </c>
      <c r="R36" s="47" t="str">
        <f>'[10]2201'!$L$34</f>
        <v>2.908.477,88</v>
      </c>
      <c r="S36" s="47" t="str">
        <f>'[11]2201'!$L$34</f>
        <v>42.088,88</v>
      </c>
      <c r="T36" s="47" t="str">
        <f>'[12]2201'!$L$34</f>
        <v>3.555.473,42</v>
      </c>
      <c r="U36" s="47" t="str">
        <f>'[13]2211'!$L$33</f>
        <v>0,00</v>
      </c>
      <c r="V36" s="47" t="str">
        <f>'[14]2211'!$L$33</f>
        <v>0,00</v>
      </c>
      <c r="W36" s="47" t="str">
        <f>'[15]2211'!$L$33</f>
        <v>0,00</v>
      </c>
      <c r="X36" s="47" t="str">
        <f>'[16]2211'!$L$33</f>
        <v>26.878,66</v>
      </c>
      <c r="Y36" s="47" t="str">
        <f>'[17]2211'!$L$33</f>
        <v>0,00</v>
      </c>
      <c r="Z36" s="47" t="str">
        <f>'[18]2211'!$L$33</f>
        <v>0,00</v>
      </c>
      <c r="AA36" s="47" t="str">
        <f>'[19]2291'!$L$22</f>
        <v>1.518.133,56</v>
      </c>
      <c r="AB36" s="70"/>
    </row>
    <row r="37" spans="1:32" s="36" customFormat="1" ht="18" customHeight="1">
      <c r="A37" s="35" t="s">
        <v>161</v>
      </c>
      <c r="B37" s="48">
        <f t="shared" si="0"/>
        <v>11809024.899999999</v>
      </c>
      <c r="C37" s="47">
        <f>'[20]2111'!$L$20+'[20]2111'!$L$26</f>
        <v>20715.34</v>
      </c>
      <c r="D37" s="47">
        <f>'[21]2111'!$L$20+'[21]2111'!$L$26</f>
        <v>0</v>
      </c>
      <c r="E37" s="47">
        <f>'[22]2110'!$L$27-'[22]2110'!$L$28</f>
        <v>4559127.57</v>
      </c>
      <c r="F37" s="47">
        <f>'[23]2111'!$L$20+'[23]2111'!$L$26</f>
        <v>51940.6</v>
      </c>
      <c r="G37" s="47" t="str">
        <f>'[24]2111'!$D$29</f>
        <v>28.984,81</v>
      </c>
      <c r="H37" s="47" t="str">
        <f>'[25]2111'!$D$29</f>
        <v>0,00</v>
      </c>
      <c r="I37" s="47">
        <f>'[1]2201'!$L35+'[1]2201'!$L36</f>
        <v>4356485.39</v>
      </c>
      <c r="J37" s="47">
        <f>'[2]2201'!$L35+'[2]2201'!$L36</f>
        <v>210528.53</v>
      </c>
      <c r="K37" s="47">
        <f>'[3]2201'!$L35+'[3]2201'!$L36</f>
        <v>19222.91</v>
      </c>
      <c r="L37" s="47">
        <f>'[4]2201'!$L35+'[4]2201'!$L36+0.01</f>
        <v>1460.47</v>
      </c>
      <c r="M37" s="47">
        <f>'[5]2201'!$L35+'[5]2201'!$L36</f>
        <v>258236.87</v>
      </c>
      <c r="N37" s="47">
        <f>'[6]2201'!$L35+'[6]2201'!$L36</f>
        <v>0</v>
      </c>
      <c r="O37" s="47">
        <f>'[7]2201'!$L35+'[7]2201'!$L36</f>
        <v>1497504.8499999999</v>
      </c>
      <c r="P37" s="47">
        <f>'[8]2201'!$L35+'[8]2201'!$L36</f>
        <v>237874.58</v>
      </c>
      <c r="Q37" s="47">
        <f>'[9]2201'!$L35+'[9]2201'!$L36</f>
        <v>5787.81</v>
      </c>
      <c r="R37" s="47">
        <f>'[10]2201'!$L35+'[10]2201'!$L36</f>
        <v>59824.74</v>
      </c>
      <c r="S37" s="47">
        <f>'[11]2201'!$L35+'[11]2201'!$L36</f>
        <v>23391.39</v>
      </c>
      <c r="T37" s="47">
        <f>'[12]2201'!$L35+'[12]2201'!$L36</f>
        <v>19935.58</v>
      </c>
      <c r="U37" s="47">
        <f>'[13]2211'!$L34+'[13]2211'!$L35</f>
        <v>0</v>
      </c>
      <c r="V37" s="47">
        <f>'[14]2211'!$L34+'[14]2211'!$L35</f>
        <v>204.34</v>
      </c>
      <c r="W37" s="47">
        <f>'[15]2211'!$L34+'[15]2211'!$L35</f>
        <v>410190.76</v>
      </c>
      <c r="X37" s="47">
        <f>'[16]2211'!$L34+'[16]2211'!$L35</f>
        <v>-2309.49</v>
      </c>
      <c r="Y37" s="47">
        <f>'[17]2211'!$L34+'[17]2211'!$L35</f>
        <v>0</v>
      </c>
      <c r="Z37" s="47">
        <f>'[18]2211'!$L34+'[18]2211'!$L35</f>
        <v>0</v>
      </c>
      <c r="AA37" s="47" t="str">
        <f>'[19]2291'!$L$23</f>
        <v>49.917,85</v>
      </c>
      <c r="AB37" s="70"/>
      <c r="AC37" s="61" t="s">
        <v>48</v>
      </c>
      <c r="AD37" s="61"/>
      <c r="AE37" s="61"/>
      <c r="AF37" s="61"/>
    </row>
    <row r="38" spans="1:32" s="36" customFormat="1" ht="18" customHeight="1">
      <c r="A38" s="35" t="s">
        <v>162</v>
      </c>
      <c r="B38" s="48">
        <f t="shared" si="0"/>
        <v>-6814430.499999999</v>
      </c>
      <c r="C38" s="47">
        <f>-'[20]2111'!$D$26-'[20]2111'!$D$20</f>
        <v>-144382.41</v>
      </c>
      <c r="D38" s="47">
        <f>-'[21]2111'!$D$26-'[21]2111'!$D$20</f>
        <v>0</v>
      </c>
      <c r="E38" s="47">
        <f>-'[22]2110'!$D$32+'[22]2110'!$D$33</f>
        <v>-10890.339999999997</v>
      </c>
      <c r="F38" s="47">
        <f>-'[23]2111'!$D$26-'[23]2111'!$D$20</f>
        <v>-607689.8999999999</v>
      </c>
      <c r="G38" s="47">
        <f>-'[24]2111'!$L$29</f>
        <v>0</v>
      </c>
      <c r="H38" s="47">
        <f>-'[25]2111'!$L$29</f>
        <v>-105542.26</v>
      </c>
      <c r="I38" s="47">
        <f>-'[1]2201'!$D36-'[1]2201'!$D37</f>
        <v>-179856</v>
      </c>
      <c r="J38" s="47">
        <f>-'[2]2201'!$D36-'[2]2201'!$D37</f>
        <v>-624163.09</v>
      </c>
      <c r="K38" s="47">
        <f>-'[3]2201'!$D36-'[3]2201'!$D37</f>
        <v>0</v>
      </c>
      <c r="L38" s="47">
        <f>-'[4]2201'!$D36-'[4]2201'!$D37</f>
        <v>-27093.63</v>
      </c>
      <c r="M38" s="47">
        <f>-'[5]2201'!$D36-'[5]2201'!$D37</f>
        <v>-230662.43</v>
      </c>
      <c r="N38" s="47">
        <f>-'[6]2201'!$D36-'[6]2201'!$D37</f>
        <v>0</v>
      </c>
      <c r="O38" s="47">
        <f>-'[7]2201'!$D36-'[7]2201'!$D37</f>
        <v>-1255441.44</v>
      </c>
      <c r="P38" s="47">
        <f>-'[8]2201'!$D36-'[8]2201'!$D37</f>
        <v>-127234.26000000001</v>
      </c>
      <c r="Q38" s="47">
        <f>-'[9]2201'!$D36-'[9]2201'!$D37</f>
        <v>-5343.88</v>
      </c>
      <c r="R38" s="47">
        <f>-'[10]2201'!$D36-'[10]2201'!$D37</f>
        <v>-3337480.32</v>
      </c>
      <c r="S38" s="47">
        <f>-'[11]2201'!$D36-'[11]2201'!$D37</f>
        <v>-5150.67</v>
      </c>
      <c r="T38" s="47">
        <f>-'[12]2201'!$D36-'[12]2201'!$D37</f>
        <v>-28794.489999999998</v>
      </c>
      <c r="U38" s="47">
        <f>-'[13]2211'!$D35-'[13]2211'!$D36</f>
        <v>0</v>
      </c>
      <c r="V38" s="47">
        <f>-'[14]2211'!$D35-'[14]2211'!$D36</f>
        <v>0</v>
      </c>
      <c r="W38" s="47">
        <f>-'[15]2211'!$D35-'[15]2211'!$D36</f>
        <v>0</v>
      </c>
      <c r="X38" s="47">
        <f>-'[16]2211'!$D35-'[16]2211'!$D36</f>
        <v>-300.47</v>
      </c>
      <c r="Y38" s="47">
        <f>-'[17]2211'!$D35-'[17]2211'!$D36</f>
        <v>0</v>
      </c>
      <c r="Z38" s="47">
        <f>-'[18]2211'!$D35-'[18]2211'!$D36</f>
        <v>0</v>
      </c>
      <c r="AA38" s="47">
        <f>-'[19]2291'!$D$27</f>
        <v>-124404.91</v>
      </c>
      <c r="AB38" s="70"/>
      <c r="AC38" s="35"/>
      <c r="AD38" s="35"/>
      <c r="AE38" s="35"/>
      <c r="AF38" s="35"/>
    </row>
    <row r="39" spans="1:32" s="36" customFormat="1" ht="18" customHeight="1">
      <c r="A39" s="35" t="s">
        <v>163</v>
      </c>
      <c r="B39" s="48">
        <f t="shared" si="0"/>
        <v>-3715755.19</v>
      </c>
      <c r="C39" s="47">
        <f>'[20]2111'!$L$19+'[20]2111'!$L$18-'[20]2111'!$D$19-'[20]2111'!$D$18</f>
        <v>0</v>
      </c>
      <c r="D39" s="47">
        <f>'[21]2111'!$L$19+'[21]2111'!$L$18-'[21]2111'!$D$19-'[21]2111'!$D$18</f>
        <v>0</v>
      </c>
      <c r="E39" s="47">
        <f>'[22]2110'!$L$28-'[22]2110'!$D$33</f>
        <v>-73539.84</v>
      </c>
      <c r="F39" s="47">
        <f>'[23]2111'!$L$19+'[23]2111'!$L$18-'[23]2111'!$D$19-'[23]2111'!$D$18</f>
        <v>1453952.8599999999</v>
      </c>
      <c r="G39" s="47">
        <f>'[24]2111'!$L$18+'[24]2111'!$L$19+'[24]2111'!$L$20-'[24]2111'!$D$18-'[24]2111'!$D$19-'[24]2111'!$D$20</f>
        <v>0</v>
      </c>
      <c r="H39" s="47">
        <f>'[25]2111'!$L$18+'[25]2111'!$L$19+'[25]2111'!$L$20-'[25]2111'!$D$18-'[25]2111'!$D$19-'[25]2111'!$D$20</f>
        <v>53500.61</v>
      </c>
      <c r="I39" s="47">
        <f>'[1]2201'!$L$32-'[1]2201'!$D$34-0.01</f>
        <v>-298</v>
      </c>
      <c r="J39" s="47">
        <f>'[2]2201'!$L$32-'[2]2201'!$D$34</f>
        <v>22742.3</v>
      </c>
      <c r="K39" s="47">
        <f>'[3]2201'!$L$32-'[3]2201'!$D$34</f>
        <v>0</v>
      </c>
      <c r="L39" s="47">
        <f>'[4]2201'!$L$32-'[4]2201'!$D$34</f>
        <v>0</v>
      </c>
      <c r="M39" s="47">
        <f>'[5]2201'!$L$32-'[5]2201'!$D$34</f>
        <v>-1582879.57</v>
      </c>
      <c r="N39" s="47">
        <f>'[6]2201'!$L$32-'[6]2201'!$D$34</f>
        <v>0</v>
      </c>
      <c r="O39" s="47">
        <f>'[7]2201'!$L$32-'[7]2201'!$D$34</f>
        <v>0</v>
      </c>
      <c r="P39" s="47">
        <f>'[8]2201'!$L$32-'[8]2201'!$D$34</f>
        <v>-3227.4299999999994</v>
      </c>
      <c r="Q39" s="47">
        <f>'[9]2201'!$L$32-'[9]2201'!$D$34</f>
        <v>0</v>
      </c>
      <c r="R39" s="47">
        <f>'[10]2201'!$L$32-'[10]2201'!$D$34</f>
        <v>5300.93</v>
      </c>
      <c r="S39" s="47">
        <f>'[11]2201'!$L$32-'[11]2201'!$D$34</f>
        <v>32791.22</v>
      </c>
      <c r="T39" s="47">
        <f>'[12]2201'!$L$32-'[12]2201'!$D$34-0.03</f>
        <v>-3485221.1399999997</v>
      </c>
      <c r="U39" s="47">
        <f>'[13]2211'!$L$31-'[13]2211'!$D$33</f>
        <v>0</v>
      </c>
      <c r="V39" s="47">
        <f>'[14]2211'!$L$31-'[14]2211'!$D$33</f>
        <v>0</v>
      </c>
      <c r="W39" s="47">
        <f>'[15]2211'!$L$31-'[15]2211'!$D$33</f>
        <v>0</v>
      </c>
      <c r="X39" s="47">
        <f>'[16]2211'!$L31-'[16]2211'!$D33</f>
        <v>-783.93</v>
      </c>
      <c r="Y39" s="47">
        <f>'[17]2211'!$L$31-'[17]2211'!$D$33</f>
        <v>0</v>
      </c>
      <c r="Z39" s="47">
        <f>'[18]2211'!$L$31-'[18]2211'!$D$33</f>
        <v>0</v>
      </c>
      <c r="AA39" s="47">
        <f>-'[19]2291'!$D$22-'[19]2291'!$D$24-'[19]2291'!$D$25+'[19]2291'!$L$18+'[19]2291'!$L$19+'[19]2291'!$L$20</f>
        <v>-138093.19999999998</v>
      </c>
      <c r="AB39" s="35"/>
      <c r="AC39" s="35" t="s">
        <v>49</v>
      </c>
      <c r="AF39" s="67">
        <f>IF(Balance!AE13&lt;0,B58/ABS(Balance!AE13),B58/Balance!AE13)</f>
        <v>-0.26456760914130006</v>
      </c>
    </row>
    <row r="40" spans="1:32" s="36" customFormat="1" ht="18" customHeight="1">
      <c r="A40" s="35" t="s">
        <v>164</v>
      </c>
      <c r="B40" s="48">
        <f t="shared" si="0"/>
        <v>-482399.21</v>
      </c>
      <c r="C40" s="47"/>
      <c r="D40" s="47"/>
      <c r="E40" s="47"/>
      <c r="F40" s="47"/>
      <c r="G40" s="47"/>
      <c r="H40" s="47"/>
      <c r="I40" s="47">
        <f>-'[1]2201'!$D$33</f>
        <v>0</v>
      </c>
      <c r="J40" s="47">
        <f>-'[2]2201'!$D$33</f>
        <v>-10698.02</v>
      </c>
      <c r="K40" s="47">
        <f>-'[3]2201'!$D$33</f>
        <v>0</v>
      </c>
      <c r="L40" s="47">
        <f>-'[4]2201'!$D$33</f>
        <v>0</v>
      </c>
      <c r="M40" s="47">
        <f>-'[5]2201'!$D$33</f>
        <v>0</v>
      </c>
      <c r="N40" s="47">
        <f>-'[6]2201'!$D$33</f>
        <v>0</v>
      </c>
      <c r="O40" s="47">
        <f>-'[7]2201'!$D$33</f>
        <v>-149630.82</v>
      </c>
      <c r="P40" s="47">
        <f>-'[8]2201'!$D$33</f>
        <v>0</v>
      </c>
      <c r="Q40" s="47">
        <f>-'[9]2201'!$D$33</f>
        <v>0</v>
      </c>
      <c r="R40" s="47">
        <f>-'[10]2201'!$D$33</f>
        <v>31523.08</v>
      </c>
      <c r="S40" s="47">
        <f>-'[11]2201'!$D$33</f>
        <v>0</v>
      </c>
      <c r="T40" s="47">
        <f>-'[12]2201'!$D$33</f>
        <v>0</v>
      </c>
      <c r="U40" s="47">
        <f>-'[13]2211'!$D$32</f>
        <v>0</v>
      </c>
      <c r="V40" s="47">
        <f>-'[14]2211'!$D$32</f>
        <v>0</v>
      </c>
      <c r="W40" s="47">
        <f>-'[15]2211'!$D$32</f>
        <v>-353593.45</v>
      </c>
      <c r="X40" s="47">
        <f>-'[16]2211'!$D$32</f>
        <v>0</v>
      </c>
      <c r="Y40" s="47">
        <f>-'[17]2211'!$D$32</f>
        <v>0</v>
      </c>
      <c r="Z40" s="47">
        <f>-'[18]2211'!$D$32</f>
        <v>0</v>
      </c>
      <c r="AA40" s="47">
        <f>-'[19]2291'!$D$23</f>
        <v>0</v>
      </c>
      <c r="AB40" s="35"/>
      <c r="AC40" s="36" t="s">
        <v>87</v>
      </c>
      <c r="AF40" s="67">
        <f>B14/B24</f>
        <v>0.08437762399041676</v>
      </c>
    </row>
    <row r="41" spans="1:32" s="36" customFormat="1" ht="18" customHeight="1">
      <c r="A41" s="35" t="s">
        <v>165</v>
      </c>
      <c r="B41" s="48">
        <f t="shared" si="0"/>
        <v>0</v>
      </c>
      <c r="C41" s="47"/>
      <c r="D41" s="47"/>
      <c r="E41" s="47"/>
      <c r="F41" s="47"/>
      <c r="G41" s="47"/>
      <c r="H41" s="47"/>
      <c r="I41" s="47">
        <f>'[1]2201'!$L33-'[1]2201'!$D35</f>
        <v>0</v>
      </c>
      <c r="J41" s="47">
        <f>'[2]2201'!$L33-'[2]2201'!$D35</f>
        <v>0</v>
      </c>
      <c r="K41" s="47">
        <f>'[3]2201'!$L33-'[3]2201'!$D35</f>
        <v>0</v>
      </c>
      <c r="L41" s="47">
        <f>'[4]2201'!$L33-'[4]2201'!$D35</f>
        <v>0</v>
      </c>
      <c r="M41" s="47">
        <f>'[5]2201'!$L33-'[5]2201'!$D35</f>
        <v>0</v>
      </c>
      <c r="N41" s="47">
        <f>'[6]2201'!$L33-'[6]2201'!$D35</f>
        <v>0</v>
      </c>
      <c r="O41" s="47">
        <f>'[7]2201'!$L33-'[7]2201'!$D35</f>
        <v>0</v>
      </c>
      <c r="P41" s="47">
        <f>'[8]2201'!$L33-'[8]2201'!$D35</f>
        <v>0</v>
      </c>
      <c r="Q41" s="47">
        <f>'[9]2201'!$L33-'[9]2201'!$D35</f>
        <v>0</v>
      </c>
      <c r="R41" s="47">
        <f>'[10]2201'!$L33-'[10]2201'!$D35</f>
        <v>0</v>
      </c>
      <c r="S41" s="47">
        <f>'[11]2201'!$L33-'[11]2201'!$D35</f>
        <v>0</v>
      </c>
      <c r="T41" s="47">
        <f>'[12]2201'!$L33-'[12]2201'!$D35</f>
        <v>0</v>
      </c>
      <c r="U41" s="47">
        <f>'[13]2211'!$L32-'[13]2211'!$D34</f>
        <v>0</v>
      </c>
      <c r="V41" s="47">
        <f>'[14]2211'!$L32-'[14]2211'!$D34</f>
        <v>0</v>
      </c>
      <c r="W41" s="47">
        <f>'[15]2211'!$L32-'[15]2211'!$D34</f>
        <v>0</v>
      </c>
      <c r="X41" s="47">
        <f>'[16]2211'!$L32-'[16]2211'!$D34</f>
        <v>0</v>
      </c>
      <c r="Y41" s="47">
        <f>'[17]2211'!$L32-'[17]2211'!$D34</f>
        <v>0</v>
      </c>
      <c r="Z41" s="47">
        <f>'[18]2211'!$L32-'[18]2211'!$D34</f>
        <v>0</v>
      </c>
      <c r="AA41" s="47">
        <f>-'[19]2291'!$D$20-'[19]2291'!$D$26+'[19]2291'!$L$16+'[19]2291'!$L$21</f>
        <v>0</v>
      </c>
      <c r="AB41" s="35"/>
      <c r="AC41" s="36" t="s">
        <v>88</v>
      </c>
      <c r="AF41" s="67">
        <f>B15/B24</f>
        <v>0.5165800435675109</v>
      </c>
    </row>
    <row r="42" spans="1:32" s="36" customFormat="1" ht="18" customHeight="1">
      <c r="A42" s="35" t="s">
        <v>166</v>
      </c>
      <c r="B42" s="48">
        <f t="shared" si="0"/>
        <v>0</v>
      </c>
      <c r="AB42" s="35"/>
      <c r="AC42" s="35" t="s">
        <v>89</v>
      </c>
      <c r="AF42" s="67">
        <f>(B18+B19+B20+B23)/B24</f>
        <v>0.3008238138738063</v>
      </c>
    </row>
    <row r="43" spans="1:32" s="36" customFormat="1" ht="18" customHeight="1">
      <c r="A43" s="74" t="s">
        <v>167</v>
      </c>
      <c r="B43" s="124">
        <f t="shared" si="0"/>
        <v>-140314401.26</v>
      </c>
      <c r="C43" s="47">
        <f aca="true" t="shared" si="32" ref="C43:I43">C35+C36+C37+C38+C39+C40+C41+C42</f>
        <v>-3597591.08</v>
      </c>
      <c r="D43" s="47">
        <f aca="true" t="shared" si="33" ref="D43:F43">D35+D36+D37+D38+D39+D40+D41+D42</f>
        <v>15012.829999999143</v>
      </c>
      <c r="E43" s="47">
        <f t="shared" si="32"/>
        <v>22540790.690000013</v>
      </c>
      <c r="F43" s="47">
        <f t="shared" si="33"/>
        <v>-1552085.9699999862</v>
      </c>
      <c r="G43" s="47">
        <f t="shared" si="32"/>
        <v>-13943637.020000005</v>
      </c>
      <c r="H43" s="47">
        <f aca="true" t="shared" si="34" ref="H43">H35+H36+H37+H38+H39+H40+H41+H42</f>
        <v>-496657.5399999969</v>
      </c>
      <c r="I43" s="47">
        <f t="shared" si="32"/>
        <v>-30146032.28</v>
      </c>
      <c r="J43" s="47">
        <f aca="true" t="shared" si="35" ref="J43:T43">J35+J36+J37+J38+J39+J40+J41+J42</f>
        <v>-29562066.52</v>
      </c>
      <c r="K43" s="47">
        <f>K35+K36+K37+K38+K39+K40+K41+K42+0.01</f>
        <v>-4779903.48</v>
      </c>
      <c r="L43" s="47">
        <f>L35+L36+L37+L38+L39+L40+L41+L42-0.01</f>
        <v>-8485455.51</v>
      </c>
      <c r="M43" s="47">
        <f t="shared" si="35"/>
        <v>-13988460.57</v>
      </c>
      <c r="N43" s="47">
        <f t="shared" si="35"/>
        <v>-1258603.4899999998</v>
      </c>
      <c r="O43" s="47">
        <f t="shared" si="35"/>
        <v>933733.7500000026</v>
      </c>
      <c r="P43" s="47">
        <f t="shared" si="35"/>
        <v>1030146.7700000029</v>
      </c>
      <c r="Q43" s="47">
        <f t="shared" si="35"/>
        <v>-663518.9799999997</v>
      </c>
      <c r="R43" s="47">
        <f t="shared" si="35"/>
        <v>6318746.749999996</v>
      </c>
      <c r="S43" s="47">
        <f t="shared" si="35"/>
        <v>62673.53999999974</v>
      </c>
      <c r="T43" s="47">
        <f t="shared" si="35"/>
        <v>-2454882.0300000003</v>
      </c>
      <c r="U43" s="47">
        <f>U35+U36+U37+U38+U39+U40+U41+U42</f>
        <v>0</v>
      </c>
      <c r="V43" s="47">
        <f>V35+V36+V37+V38+V39+V40+V41+V42</f>
        <v>-73335.52</v>
      </c>
      <c r="W43" s="47">
        <f>W35+W36+W37+W38+W39+W40+W41+W42</f>
        <v>-863432.02</v>
      </c>
      <c r="X43" s="47">
        <f aca="true" t="shared" si="36" ref="X43">X35+X36+X37+X38+X39+X40+X41+X42</f>
        <v>-24731.92999999984</v>
      </c>
      <c r="Y43" s="47">
        <f aca="true" t="shared" si="37" ref="Y43:AA43">Y35+Y36+Y37+Y38+Y39+Y40+Y41+Y42</f>
        <v>0</v>
      </c>
      <c r="Z43" s="47">
        <f aca="true" t="shared" si="38" ref="Z43">Z35+Z36+Z37+Z38+Z39+Z40+Z41+Z42</f>
        <v>-168373.55</v>
      </c>
      <c r="AA43" s="47">
        <f t="shared" si="37"/>
        <v>-59156738.1</v>
      </c>
      <c r="AB43" s="35"/>
      <c r="AC43" s="35" t="s">
        <v>90</v>
      </c>
      <c r="AF43" s="67">
        <f>(B21+B22)/B24</f>
        <v>0.0982185185682661</v>
      </c>
    </row>
    <row r="44" spans="1:32" s="36" customFormat="1" ht="18" customHeight="1">
      <c r="A44" s="35" t="s">
        <v>168</v>
      </c>
      <c r="B44" s="48">
        <f t="shared" si="0"/>
        <v>2571730.8</v>
      </c>
      <c r="C44" s="47">
        <f>+'[20]2111'!$D$23-'[20]2111'!$L$23</f>
        <v>0</v>
      </c>
      <c r="D44" s="47">
        <f>+'[21]2111'!$D$23-'[21]2111'!$L$23</f>
        <v>0</v>
      </c>
      <c r="E44" s="47">
        <f>'[22]2110'!$L$16+'[22]2110'!$L$17</f>
        <v>0</v>
      </c>
      <c r="F44" s="47">
        <f>+'[23]2111'!$D$23-'[23]2111'!$L$23</f>
        <v>-13522.77</v>
      </c>
      <c r="G44" s="47">
        <f>-'[24]2111'!$D$23+'[24]2111'!$L$23</f>
        <v>0</v>
      </c>
      <c r="H44" s="47">
        <f>-'[25]2111'!$D$23+'[25]2111'!$L$23</f>
        <v>0</v>
      </c>
      <c r="I44" s="47">
        <f>'[1]2201'!$L$16+'[1]2201'!$L$20</f>
        <v>0</v>
      </c>
      <c r="J44" s="47">
        <f>'[2]2201'!$L$16+'[2]2201'!$L$20</f>
        <v>0</v>
      </c>
      <c r="K44" s="47">
        <f>'[3]2201'!$L$16+'[3]2201'!$L$20</f>
        <v>0</v>
      </c>
      <c r="L44" s="47">
        <f>'[4]2201'!$L$16+'[4]2201'!$L$20</f>
        <v>0</v>
      </c>
      <c r="M44" s="47">
        <f>'[5]2201'!$L$16+'[5]2201'!$L$20</f>
        <v>0</v>
      </c>
      <c r="N44" s="47">
        <f>'[6]2201'!$L$16+'[6]2201'!$L$20</f>
        <v>0</v>
      </c>
      <c r="O44" s="47">
        <f>'[7]2201'!$L$16+'[7]2201'!$L$20</f>
        <v>0</v>
      </c>
      <c r="P44" s="47">
        <f>'[8]2201'!$L$16+'[8]2201'!$L$20</f>
        <v>0</v>
      </c>
      <c r="Q44" s="47">
        <f>'[9]2201'!$L$16+'[9]2201'!$L$20</f>
        <v>0</v>
      </c>
      <c r="R44" s="47">
        <f>'[10]2201'!$L$16+'[10]2201'!$L$20</f>
        <v>2585253.57</v>
      </c>
      <c r="S44" s="47">
        <f>'[11]2201'!$L$16+'[11]2201'!$L$20</f>
        <v>0</v>
      </c>
      <c r="T44" s="47">
        <f>'[12]2201'!$L$16+'[12]2201'!$L$20</f>
        <v>0</v>
      </c>
      <c r="U44" s="47">
        <f>'[13]2211'!$L$15+'[13]2211'!$L$19</f>
        <v>0</v>
      </c>
      <c r="V44" s="47">
        <f>'[14]2211'!$L$15+'[14]2211'!$L$19</f>
        <v>0</v>
      </c>
      <c r="W44" s="47">
        <f>'[15]2211'!$L$15+'[15]2211'!$L$19</f>
        <v>0</v>
      </c>
      <c r="X44" s="47">
        <f>'[16]2211'!$L$15+'[16]2211'!$L$19</f>
        <v>0</v>
      </c>
      <c r="Y44" s="47">
        <f>'[17]2211'!$L$15+'[17]2211'!$L$19</f>
        <v>0</v>
      </c>
      <c r="Z44" s="47">
        <f>'[18]2211'!$L$15+'[18]2211'!$L$19</f>
        <v>0</v>
      </c>
      <c r="AA44" s="47" t="str">
        <f>'[19]2291'!$L$9</f>
        <v>0,00</v>
      </c>
      <c r="AB44" s="35"/>
      <c r="AC44" s="36" t="s">
        <v>91</v>
      </c>
      <c r="AF44" s="67">
        <f>B25/B34</f>
        <v>0.4774406136629044</v>
      </c>
    </row>
    <row r="45" spans="1:32" s="36" customFormat="1" ht="18" customHeight="1">
      <c r="A45" s="35" t="s">
        <v>169</v>
      </c>
      <c r="B45" s="48">
        <f t="shared" si="0"/>
        <v>9737395.620000001</v>
      </c>
      <c r="C45" s="47" t="str">
        <f>'[20]2111'!$L$5</f>
        <v>120.577,23</v>
      </c>
      <c r="D45" s="47" t="str">
        <f>'[21]2111'!$L$5</f>
        <v>49.708,86</v>
      </c>
      <c r="E45" s="47" t="str">
        <f>'[22]2110'!$L$18</f>
        <v>956.114,10</v>
      </c>
      <c r="F45" s="47" t="str">
        <f>'[23]2111'!$L$5</f>
        <v>1.204.634,39</v>
      </c>
      <c r="G45" s="47" t="str">
        <f>'[24]2111'!$L$5</f>
        <v>389.751,87</v>
      </c>
      <c r="H45" s="47" t="str">
        <f>'[25]2111'!$L$5</f>
        <v>125.389,42</v>
      </c>
      <c r="I45" s="47" t="str">
        <f>'[1]2201'!$L$24</f>
        <v>323.572,19</v>
      </c>
      <c r="J45" s="47" t="str">
        <f>'[2]2201'!$L$24</f>
        <v>1.941.365,26</v>
      </c>
      <c r="K45" s="47" t="str">
        <f>'[3]2201'!$L$24</f>
        <v>45.593,45</v>
      </c>
      <c r="L45" s="47" t="str">
        <f>'[4]2201'!$L$24</f>
        <v>51.476,69</v>
      </c>
      <c r="M45" s="47" t="str">
        <f>'[5]2201'!$L$24</f>
        <v>261.253,95</v>
      </c>
      <c r="N45" s="47" t="str">
        <f>'[6]2201'!$L$24</f>
        <v>53.411,95</v>
      </c>
      <c r="O45" s="47" t="str">
        <f>'[7]2201'!$L$24</f>
        <v>76.930,60</v>
      </c>
      <c r="P45" s="47" t="str">
        <f>'[8]2201'!$L$24</f>
        <v>75.084,44</v>
      </c>
      <c r="Q45" s="47" t="str">
        <f>'[9]2201'!$L$24</f>
        <v>744.217,77</v>
      </c>
      <c r="R45" s="47" t="str">
        <f>'[10]2201'!$L$24</f>
        <v>615.442,41</v>
      </c>
      <c r="S45" s="47" t="str">
        <f>'[11]2201'!$L$24</f>
        <v>61.237,12</v>
      </c>
      <c r="T45" s="47" t="str">
        <f>'[12]2201'!$L$24</f>
        <v>140.270,22</v>
      </c>
      <c r="U45" s="47" t="str">
        <f>'[13]2211'!$L$23</f>
        <v>69,81</v>
      </c>
      <c r="V45" s="47" t="str">
        <f>'[14]2211'!$L$23</f>
        <v>1.306.341,88</v>
      </c>
      <c r="W45" s="47" t="str">
        <f>'[15]2211'!$L$23</f>
        <v>1.012.410,90</v>
      </c>
      <c r="X45" s="47" t="str">
        <f>'[16]2211'!$L$23</f>
        <v>25.893,45</v>
      </c>
      <c r="Y45" s="47" t="str">
        <f>'[17]2211'!$L$23</f>
        <v>0,00</v>
      </c>
      <c r="Z45" s="47">
        <f>'[18]2211'!$L$23+0.01</f>
        <v>55809.990000000005</v>
      </c>
      <c r="AA45" s="47" t="str">
        <f>'[19]2291'!$L$10</f>
        <v>100.837,67</v>
      </c>
      <c r="AB45" s="35"/>
      <c r="AC45" s="36" t="s">
        <v>92</v>
      </c>
      <c r="AF45" s="67">
        <f>(B26+B33)/B34</f>
        <v>0.007082104739557605</v>
      </c>
    </row>
    <row r="46" spans="1:32" s="36" customFormat="1" ht="18" customHeight="1">
      <c r="A46" s="35" t="s">
        <v>170</v>
      </c>
      <c r="B46" s="48">
        <f t="shared" si="0"/>
        <v>-2329081.56</v>
      </c>
      <c r="C46" s="47">
        <f>-'[20]2111'!$D$6</f>
        <v>-106978.93</v>
      </c>
      <c r="D46" s="47">
        <f>-'[21]2111'!$D$6</f>
        <v>-3684.64</v>
      </c>
      <c r="E46" s="47">
        <f>-'[22]2110'!$D$22</f>
        <v>-378908.08</v>
      </c>
      <c r="F46" s="47">
        <f>-'[23]2111'!$D$6-0.01</f>
        <v>-622242.47</v>
      </c>
      <c r="G46" s="47">
        <f>-'[24]2111'!$D$6</f>
        <v>-1194594.41</v>
      </c>
      <c r="H46" s="47">
        <f>-'[25]2111'!$D$6</f>
        <v>-22673.03</v>
      </c>
      <c r="I46" s="47"/>
      <c r="J46" s="47"/>
      <c r="K46" s="47"/>
      <c r="L46" s="47"/>
      <c r="M46" s="47"/>
      <c r="N46" s="47"/>
      <c r="O46" s="47"/>
      <c r="P46" s="47"/>
      <c r="Q46" s="47"/>
      <c r="R46" s="47"/>
      <c r="S46" s="47"/>
      <c r="T46" s="47"/>
      <c r="U46" s="47"/>
      <c r="V46" s="47"/>
      <c r="W46" s="47"/>
      <c r="X46" s="47"/>
      <c r="Y46" s="47"/>
      <c r="Z46" s="47"/>
      <c r="AA46" s="47"/>
      <c r="AB46" s="35"/>
      <c r="AC46" s="36" t="s">
        <v>187</v>
      </c>
      <c r="AF46" s="67">
        <f>B31/B34</f>
        <v>0.2012771514084466</v>
      </c>
    </row>
    <row r="47" spans="1:32" s="36" customFormat="1" ht="18" customHeight="1">
      <c r="A47" s="35" t="s">
        <v>171</v>
      </c>
      <c r="B47" s="48">
        <f t="shared" si="0"/>
        <v>-23785553.169999998</v>
      </c>
      <c r="C47" s="47"/>
      <c r="D47" s="47"/>
      <c r="E47" s="47"/>
      <c r="F47" s="47"/>
      <c r="G47" s="47"/>
      <c r="H47" s="47"/>
      <c r="I47" s="47">
        <f>-'[1]2201'!$D$24</f>
        <v>-170332.85</v>
      </c>
      <c r="J47" s="47">
        <f>-'[2]2201'!$D$24</f>
        <v>-9987054.2</v>
      </c>
      <c r="K47" s="47">
        <f>-'[3]2201'!$D$24</f>
        <v>-4723.42</v>
      </c>
      <c r="L47" s="47">
        <f>-'[4]2201'!$D$24</f>
        <v>-61495.56</v>
      </c>
      <c r="M47" s="47">
        <f>-'[5]2201'!$D$24</f>
        <v>0</v>
      </c>
      <c r="N47" s="47">
        <f>-'[6]2201'!$D$24</f>
        <v>-12477.01</v>
      </c>
      <c r="O47" s="47">
        <f>-'[7]2201'!$D$24</f>
        <v>0</v>
      </c>
      <c r="P47" s="47">
        <f>-'[8]2201'!$D$24</f>
        <v>-1053399.93</v>
      </c>
      <c r="Q47" s="47">
        <f>-'[9]2201'!$D$24</f>
        <v>-15705.29</v>
      </c>
      <c r="R47" s="47">
        <f>-'[10]2201'!$D$24+0.01</f>
        <v>-11103951.040000001</v>
      </c>
      <c r="S47" s="47">
        <f>-'[11]2201'!$D$24</f>
        <v>-26234.18</v>
      </c>
      <c r="T47" s="47">
        <f>-'[12]2201'!$D$24</f>
        <v>-254101.91</v>
      </c>
      <c r="U47" s="47">
        <f>-'[13]2211'!$D$23</f>
        <v>0</v>
      </c>
      <c r="V47" s="47">
        <f>-'[14]2211'!$D$23</f>
        <v>-818764.8</v>
      </c>
      <c r="W47" s="47">
        <f>-'[15]2211'!$D$23</f>
        <v>0</v>
      </c>
      <c r="X47" s="47">
        <f>-'[16]2211'!$D$23</f>
        <v>-1162.19</v>
      </c>
      <c r="Y47" s="47">
        <f>-'[17]2211'!$D$23</f>
        <v>0</v>
      </c>
      <c r="Z47" s="47">
        <f>-'[18]2211'!$D$23</f>
        <v>0</v>
      </c>
      <c r="AA47" s="47">
        <f>-'[19]2291'!$D$13</f>
        <v>-276150.79</v>
      </c>
      <c r="AB47" s="35"/>
      <c r="AC47" s="36" t="s">
        <v>93</v>
      </c>
      <c r="AF47" s="67">
        <f>B29/B34</f>
        <v>0.20974995917323117</v>
      </c>
    </row>
    <row r="48" spans="1:32" s="36" customFormat="1" ht="18" customHeight="1" thickBot="1">
      <c r="A48" s="35" t="s">
        <v>172</v>
      </c>
      <c r="B48" s="48">
        <f t="shared" si="0"/>
        <v>0</v>
      </c>
      <c r="C48" s="47"/>
      <c r="D48" s="47"/>
      <c r="E48" s="47">
        <f>-'[22]2110'!$D$25</f>
        <v>0</v>
      </c>
      <c r="F48" s="47"/>
      <c r="G48" s="47"/>
      <c r="H48" s="47"/>
      <c r="I48" s="47"/>
      <c r="J48" s="47"/>
      <c r="K48" s="47"/>
      <c r="L48" s="47"/>
      <c r="M48" s="47"/>
      <c r="N48" s="47"/>
      <c r="O48" s="47"/>
      <c r="P48" s="47"/>
      <c r="Q48" s="47"/>
      <c r="R48" s="47"/>
      <c r="S48" s="47"/>
      <c r="T48" s="47"/>
      <c r="U48" s="47"/>
      <c r="V48" s="47"/>
      <c r="W48" s="47"/>
      <c r="X48" s="47"/>
      <c r="Y48" s="47"/>
      <c r="Z48" s="47"/>
      <c r="AA48" s="47"/>
      <c r="AB48" s="35"/>
      <c r="AC48" s="72" t="s">
        <v>94</v>
      </c>
      <c r="AD48" s="72"/>
      <c r="AE48" s="72"/>
      <c r="AF48" s="73">
        <f>(B30+B32)/B34</f>
        <v>0.10445017101586043</v>
      </c>
    </row>
    <row r="49" spans="1:28" s="36" customFormat="1" ht="18" customHeight="1">
      <c r="A49" s="35" t="s">
        <v>173</v>
      </c>
      <c r="B49" s="48">
        <f t="shared" si="0"/>
        <v>-1996711.17</v>
      </c>
      <c r="C49" s="47"/>
      <c r="D49" s="47"/>
      <c r="E49" s="47"/>
      <c r="F49" s="47"/>
      <c r="G49" s="47"/>
      <c r="H49" s="47"/>
      <c r="I49" s="47">
        <f>-'[1]2201'!$D$29</f>
        <v>0</v>
      </c>
      <c r="J49" s="47">
        <f>-'[2]2201'!$D$29</f>
        <v>0</v>
      </c>
      <c r="K49" s="47">
        <f>-'[3]2201'!$D$29</f>
        <v>0</v>
      </c>
      <c r="L49" s="47">
        <f>-'[4]2201'!$D$29</f>
        <v>0</v>
      </c>
      <c r="M49" s="47">
        <f>-'[5]2201'!$D$29</f>
        <v>0</v>
      </c>
      <c r="N49" s="47">
        <f>-'[6]2201'!$D$29</f>
        <v>0</v>
      </c>
      <c r="O49" s="47">
        <f>-'[7]2201'!$D$29</f>
        <v>-1996711.17</v>
      </c>
      <c r="P49" s="47">
        <f>-'[8]2201'!$D$29</f>
        <v>0</v>
      </c>
      <c r="Q49" s="47">
        <f>-'[9]2201'!$D$29</f>
        <v>0</v>
      </c>
      <c r="R49" s="47">
        <f>-'[10]2201'!$D$29</f>
        <v>0</v>
      </c>
      <c r="S49" s="47">
        <f>-'[11]2201'!$D$29</f>
        <v>0</v>
      </c>
      <c r="T49" s="47">
        <f>-'[12]2201'!$D$29</f>
        <v>0</v>
      </c>
      <c r="U49" s="47">
        <f>-'[13]2211'!$D$28</f>
        <v>0</v>
      </c>
      <c r="V49" s="47">
        <f>-'[14]2211'!$D$28</f>
        <v>0</v>
      </c>
      <c r="W49" s="47">
        <f>-'[15]2211'!$D$28</f>
        <v>0</v>
      </c>
      <c r="X49" s="47">
        <f>-'[16]2211'!$D$28</f>
        <v>0</v>
      </c>
      <c r="Y49" s="47">
        <f>-'[17]2211'!$D$28</f>
        <v>0</v>
      </c>
      <c r="Z49" s="47">
        <f>-'[18]2211'!$D$28</f>
        <v>0</v>
      </c>
      <c r="AA49" s="47">
        <f>-'[19]2291'!$D$15</f>
        <v>0</v>
      </c>
      <c r="AB49" s="35"/>
    </row>
    <row r="50" spans="1:29" s="36" customFormat="1" ht="18" customHeight="1">
      <c r="A50" s="35" t="s">
        <v>174</v>
      </c>
      <c r="B50" s="48">
        <f t="shared" si="0"/>
        <v>-360511.19999999995</v>
      </c>
      <c r="C50" s="47"/>
      <c r="D50" s="47"/>
      <c r="E50" s="47">
        <f>'[22]2110'!$L$21-'[22]2110'!$D$26</f>
        <v>0</v>
      </c>
      <c r="F50" s="47"/>
      <c r="G50" s="47"/>
      <c r="H50" s="47"/>
      <c r="I50" s="47">
        <f>'[1]2201'!$L$29-'[1]2201'!$D$30</f>
        <v>14745.3</v>
      </c>
      <c r="J50" s="47">
        <f>'[2]2201'!$L$29-'[2]2201'!$D$30</f>
        <v>-197522.63</v>
      </c>
      <c r="K50" s="47">
        <f>'[3]2201'!$L$29-'[3]2201'!$D$30</f>
        <v>-702.7400000000052</v>
      </c>
      <c r="L50" s="47">
        <f>'[4]2201'!$L$29-'[4]2201'!$D$30</f>
        <v>-54.09</v>
      </c>
      <c r="M50" s="47">
        <f>'[5]2201'!$L$29-'[5]2201'!$D$30+0.01</f>
        <v>1556.6299999999999</v>
      </c>
      <c r="N50" s="47">
        <f>'[6]2201'!$L$29-'[6]2201'!$D$30</f>
        <v>0</v>
      </c>
      <c r="O50" s="47">
        <f>'[7]2201'!$L$29-'[7]2201'!$D$30</f>
        <v>10.45</v>
      </c>
      <c r="P50" s="47">
        <f>'[8]2201'!$L$29-'[8]2201'!$D$30</f>
        <v>0</v>
      </c>
      <c r="Q50" s="47">
        <f>'[9]2201'!$L$29-'[9]2201'!$D$30</f>
        <v>0</v>
      </c>
      <c r="R50" s="47">
        <f>'[10]2201'!$L$29-'[10]2201'!$D$30</f>
        <v>0</v>
      </c>
      <c r="S50" s="47">
        <f>'[11]2201'!$L$29-'[11]2201'!$D$30+0.01</f>
        <v>-46987.119999999995</v>
      </c>
      <c r="T50" s="47">
        <f>'[12]2201'!$L$29-'[12]2201'!$D$30</f>
        <v>1304.2</v>
      </c>
      <c r="U50" s="47">
        <f>'[13]2211'!$L$28-'[13]2211'!$D$29</f>
        <v>0</v>
      </c>
      <c r="V50" s="47">
        <f>'[14]2211'!$L$28-'[14]2211'!$D$29</f>
        <v>0</v>
      </c>
      <c r="W50" s="47">
        <f>'[15]2211'!$L$28-'[15]2211'!$D$29</f>
        <v>0</v>
      </c>
      <c r="X50" s="47">
        <f>'[16]2211'!$L$28-'[16]2211'!$D$29</f>
        <v>0.69</v>
      </c>
      <c r="Y50" s="47">
        <f>'[17]2211'!$L$28-'[17]2211'!$D$29</f>
        <v>0</v>
      </c>
      <c r="Z50" s="47">
        <f>'[18]2211'!$L$28-'[18]2211'!$D$29</f>
        <v>0</v>
      </c>
      <c r="AA50" s="47">
        <f>-'[19]2291'!$D$16+'[19]2291'!$L$12</f>
        <v>-132861.89</v>
      </c>
      <c r="AB50" s="35"/>
      <c r="AC50" s="36" t="s">
        <v>50</v>
      </c>
    </row>
    <row r="51" spans="1:29" s="36" customFormat="1" ht="18" customHeight="1">
      <c r="A51" s="35" t="s">
        <v>175</v>
      </c>
      <c r="B51" s="48">
        <f t="shared" si="0"/>
        <v>0</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f>-'[19]2291'!$D$14-'[19]2291'!$D$17+'[19]2291'!$L$11+'[19]2291'!$L$13</f>
        <v>0</v>
      </c>
      <c r="AB51" s="35"/>
      <c r="AC51" s="36" t="s">
        <v>51</v>
      </c>
    </row>
    <row r="52" spans="1:28" s="36" customFormat="1" ht="18" customHeight="1">
      <c r="A52" s="74" t="s">
        <v>176</v>
      </c>
      <c r="B52" s="124">
        <f t="shared" si="0"/>
        <v>-16162730.679999998</v>
      </c>
      <c r="C52" s="47">
        <f aca="true" t="shared" si="39" ref="C52:I52">C44+C45+C46+C47+C48+C49+C50+C51</f>
        <v>13598.300000000003</v>
      </c>
      <c r="D52" s="47">
        <f aca="true" t="shared" si="40" ref="D52:F52">D44+D45+D46+D47+D48+D49+D50+D51</f>
        <v>46024.22</v>
      </c>
      <c r="E52" s="47">
        <f t="shared" si="39"/>
        <v>577206.02</v>
      </c>
      <c r="F52" s="47">
        <f t="shared" si="40"/>
        <v>568869.1499999999</v>
      </c>
      <c r="G52" s="47">
        <f t="shared" si="39"/>
        <v>-804842.5399999999</v>
      </c>
      <c r="H52" s="47">
        <f aca="true" t="shared" si="41" ref="H52">H44+H45+H46+H47+H48+H49+H50+H51</f>
        <v>102716.39</v>
      </c>
      <c r="I52" s="47">
        <f t="shared" si="39"/>
        <v>167984.63999999998</v>
      </c>
      <c r="J52" s="47">
        <f aca="true" t="shared" si="42" ref="J52:T52">J44+J45+J46+J47+J48+J49+J50+J51</f>
        <v>-8243211.569999999</v>
      </c>
      <c r="K52" s="47">
        <f t="shared" si="42"/>
        <v>40167.28999999999</v>
      </c>
      <c r="L52" s="47">
        <f t="shared" si="42"/>
        <v>-10072.959999999995</v>
      </c>
      <c r="M52" s="47">
        <f t="shared" si="42"/>
        <v>262810.58</v>
      </c>
      <c r="N52" s="47">
        <f t="shared" si="42"/>
        <v>40934.939999999995</v>
      </c>
      <c r="O52" s="47">
        <f t="shared" si="42"/>
        <v>-1919770.1199999999</v>
      </c>
      <c r="P52" s="47">
        <f t="shared" si="42"/>
        <v>-978315.49</v>
      </c>
      <c r="Q52" s="47">
        <f t="shared" si="42"/>
        <v>728512.48</v>
      </c>
      <c r="R52" s="47">
        <f t="shared" si="42"/>
        <v>-7903255.0600000005</v>
      </c>
      <c r="S52" s="47">
        <f t="shared" si="42"/>
        <v>-11984.179999999993</v>
      </c>
      <c r="T52" s="47">
        <f t="shared" si="42"/>
        <v>-112527.49</v>
      </c>
      <c r="U52" s="47">
        <f>U44+U45+U46+U47+U48+U49+U50+U51</f>
        <v>69.81</v>
      </c>
      <c r="V52" s="47">
        <f>V44+V45+V46+V47+V48+V49+V50+V51</f>
        <v>487577.07999999984</v>
      </c>
      <c r="W52" s="47">
        <f>W44+W45+W46+W47+W48+W49+W50+W51</f>
        <v>1012410.9</v>
      </c>
      <c r="X52" s="47">
        <f aca="true" t="shared" si="43" ref="X52">X44+X45+X46+X47+X48+X49+X50+X51</f>
        <v>24731.95</v>
      </c>
      <c r="Y52" s="47">
        <f aca="true" t="shared" si="44" ref="Y52:AA52">Y44+Y45+Y46+Y47+Y48+Y49+Y50+Y51</f>
        <v>0</v>
      </c>
      <c r="Z52" s="47">
        <f aca="true" t="shared" si="45" ref="Z52">Z44+Z45+Z46+Z47+Z48+Z49+Z50+Z51</f>
        <v>55809.990000000005</v>
      </c>
      <c r="AA52" s="47">
        <f t="shared" si="44"/>
        <v>-308175.01</v>
      </c>
      <c r="AB52" s="35"/>
    </row>
    <row r="53" spans="1:29" s="36" customFormat="1" ht="18" customHeight="1">
      <c r="A53" s="35" t="s">
        <v>177</v>
      </c>
      <c r="B53" s="48">
        <f t="shared" si="0"/>
        <v>0</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f>-'[19]2291'!$D$19+'[19]2291'!$L$15</f>
        <v>0</v>
      </c>
      <c r="AB53" s="35"/>
      <c r="AC53" s="35"/>
    </row>
    <row r="54" spans="1:29" s="36" customFormat="1" ht="18" customHeight="1">
      <c r="A54" s="74" t="s">
        <v>178</v>
      </c>
      <c r="B54" s="124">
        <f t="shared" si="0"/>
        <v>-156477131.93999997</v>
      </c>
      <c r="C54" s="47">
        <f aca="true" t="shared" si="46" ref="C54:G54">C43+C52+C53</f>
        <v>-3583992.7800000003</v>
      </c>
      <c r="D54" s="47">
        <f aca="true" t="shared" si="47" ref="D54:F54">D43+D52+D53</f>
        <v>61037.049999999144</v>
      </c>
      <c r="E54" s="47">
        <f t="shared" si="46"/>
        <v>23117996.710000012</v>
      </c>
      <c r="F54" s="47">
        <f t="shared" si="47"/>
        <v>-983216.8199999863</v>
      </c>
      <c r="G54" s="47">
        <f t="shared" si="46"/>
        <v>-14748479.560000004</v>
      </c>
      <c r="H54" s="47">
        <f aca="true" t="shared" si="48" ref="H54">H43+H52+H53</f>
        <v>-393941.1499999969</v>
      </c>
      <c r="I54" s="47">
        <f aca="true" t="shared" si="49" ref="I54">I43+I52+I53</f>
        <v>-29978047.64</v>
      </c>
      <c r="J54" s="47">
        <f aca="true" t="shared" si="50" ref="J54:T54">J43+J52+J53</f>
        <v>-37805278.089999996</v>
      </c>
      <c r="K54" s="47">
        <f t="shared" si="50"/>
        <v>-4739736.19</v>
      </c>
      <c r="L54" s="47">
        <f t="shared" si="50"/>
        <v>-8495528.47</v>
      </c>
      <c r="M54" s="47">
        <f t="shared" si="50"/>
        <v>-13725649.99</v>
      </c>
      <c r="N54" s="47">
        <f t="shared" si="50"/>
        <v>-1217668.5499999998</v>
      </c>
      <c r="O54" s="47">
        <f t="shared" si="50"/>
        <v>-986036.3699999973</v>
      </c>
      <c r="P54" s="47">
        <f t="shared" si="50"/>
        <v>51831.28000000294</v>
      </c>
      <c r="Q54" s="47">
        <f t="shared" si="50"/>
        <v>64993.50000000023</v>
      </c>
      <c r="R54" s="47">
        <f t="shared" si="50"/>
        <v>-1584508.3100000042</v>
      </c>
      <c r="S54" s="47">
        <f t="shared" si="50"/>
        <v>50689.359999999746</v>
      </c>
      <c r="T54" s="47">
        <f t="shared" si="50"/>
        <v>-2567409.5200000005</v>
      </c>
      <c r="U54" s="47">
        <f aca="true" t="shared" si="51" ref="U54:V54">U43+U52+U53</f>
        <v>69.81</v>
      </c>
      <c r="V54" s="47">
        <f t="shared" si="51"/>
        <v>414241.5599999998</v>
      </c>
      <c r="W54" s="47">
        <f aca="true" t="shared" si="52" ref="W54">W43+W52+W53</f>
        <v>148978.88</v>
      </c>
      <c r="X54" s="47">
        <f>X43+X52+X53</f>
        <v>0.020000000160507625</v>
      </c>
      <c r="Y54" s="47">
        <f>Y43+Y52+Y53</f>
        <v>0</v>
      </c>
      <c r="Z54" s="47">
        <f>Z43+Z52+Z53</f>
        <v>-112563.55999999998</v>
      </c>
      <c r="AA54" s="47">
        <f>AA43+AA52+AA53</f>
        <v>-59464913.11</v>
      </c>
      <c r="AB54" s="35"/>
      <c r="AC54" s="35"/>
    </row>
    <row r="55" spans="1:29" s="36" customFormat="1" ht="18" customHeight="1">
      <c r="A55" s="35" t="s">
        <v>179</v>
      </c>
      <c r="B55" s="48">
        <f t="shared" si="0"/>
        <v>-272853.43999999994</v>
      </c>
      <c r="C55" s="47"/>
      <c r="D55" s="47"/>
      <c r="E55" s="47"/>
      <c r="F55" s="47"/>
      <c r="G55" s="47"/>
      <c r="H55" s="47"/>
      <c r="I55" s="47">
        <f>-'[1]2201'!$D$41-'[1]2201'!$D$40-0.01</f>
        <v>-81150.23999999999</v>
      </c>
      <c r="J55" s="47">
        <f>-'[2]2201'!$D$41-'[2]2201'!$D$40</f>
        <v>0</v>
      </c>
      <c r="K55" s="47">
        <f>-'[3]2201'!$D$41-'[3]2201'!$D$40</f>
        <v>0</v>
      </c>
      <c r="L55" s="47">
        <f>-'[4]2201'!$D$41-'[4]2201'!$D$40</f>
        <v>0</v>
      </c>
      <c r="M55" s="47">
        <f>-'[5]2201'!$D$41-'[5]2201'!$D$40</f>
        <v>0</v>
      </c>
      <c r="N55" s="47">
        <f>-'[6]2201'!$D$41-'[6]2201'!$D$40</f>
        <v>0</v>
      </c>
      <c r="O55" s="47">
        <f>-'[7]2201'!$D$41-'[7]2201'!$D$40</f>
        <v>0</v>
      </c>
      <c r="P55" s="47">
        <f>-'[8]2201'!$D$41-'[8]2201'!$D$40+0.01</f>
        <v>-18138.54</v>
      </c>
      <c r="Q55" s="47">
        <f>-'[9]2201'!$D$41-'[9]2201'!$D$40</f>
        <v>-3205.74</v>
      </c>
      <c r="R55" s="47">
        <f>-'[10]2201'!$D$41-'[10]2201'!$D$40</f>
        <v>0</v>
      </c>
      <c r="S55" s="47">
        <f>-'[11]2201'!$D$41-'[11]2201'!$D$40</f>
        <v>0</v>
      </c>
      <c r="T55" s="47">
        <f>-'[12]2201'!$D$41-'[12]2201'!$D$40</f>
        <v>0</v>
      </c>
      <c r="U55" s="47">
        <f>-'[13]2211'!$D$40-'[13]2211'!$D$39</f>
        <v>-24.43</v>
      </c>
      <c r="V55" s="47">
        <f>-'[14]2211'!$D$40-'[14]2211'!$D$39+0.03</f>
        <v>-88769.46</v>
      </c>
      <c r="W55" s="47">
        <f>-'[15]2211'!$D$40-'[15]2211'!$D$39</f>
        <v>-81166.68</v>
      </c>
      <c r="X55" s="47">
        <f>-'[16]2211'!$D$40-'[16]2211'!$D$39-0.02</f>
        <v>-398.34999999999997</v>
      </c>
      <c r="Y55" s="47">
        <f>-'[17]2211'!$D$40-'[17]2211'!$D$39</f>
        <v>0</v>
      </c>
      <c r="Z55" s="47">
        <f>-'[18]2211'!$D$40-'[18]2211'!$D$39</f>
        <v>0</v>
      </c>
      <c r="AA55" s="47">
        <f>-'[19]2291'!$D$30</f>
        <v>0</v>
      </c>
      <c r="AB55" s="35"/>
      <c r="AC55" s="35"/>
    </row>
    <row r="56" spans="1:28" s="36" customFormat="1" ht="18" customHeight="1">
      <c r="A56" s="74" t="s">
        <v>180</v>
      </c>
      <c r="B56" s="124">
        <f t="shared" si="0"/>
        <v>-156749985.37999994</v>
      </c>
      <c r="C56" s="47">
        <f aca="true" t="shared" si="53" ref="C56:G56">C54+C55</f>
        <v>-3583992.7800000003</v>
      </c>
      <c r="D56" s="47">
        <f aca="true" t="shared" si="54" ref="D56:F56">D54+D55</f>
        <v>61037.049999999144</v>
      </c>
      <c r="E56" s="47">
        <f t="shared" si="53"/>
        <v>23117996.710000012</v>
      </c>
      <c r="F56" s="47">
        <f t="shared" si="54"/>
        <v>-983216.8199999863</v>
      </c>
      <c r="G56" s="47">
        <f t="shared" si="53"/>
        <v>-14748479.560000004</v>
      </c>
      <c r="H56" s="47">
        <f aca="true" t="shared" si="55" ref="H56">H54+H55</f>
        <v>-393941.1499999969</v>
      </c>
      <c r="I56" s="47">
        <f aca="true" t="shared" si="56" ref="I56">I54+I55</f>
        <v>-30059197.88</v>
      </c>
      <c r="J56" s="47">
        <f aca="true" t="shared" si="57" ref="J56:T56">J54+J55</f>
        <v>-37805278.089999996</v>
      </c>
      <c r="K56" s="47">
        <f t="shared" si="57"/>
        <v>-4739736.19</v>
      </c>
      <c r="L56" s="47">
        <f t="shared" si="57"/>
        <v>-8495528.47</v>
      </c>
      <c r="M56" s="47">
        <f t="shared" si="57"/>
        <v>-13725649.99</v>
      </c>
      <c r="N56" s="47">
        <f t="shared" si="57"/>
        <v>-1217668.5499999998</v>
      </c>
      <c r="O56" s="47">
        <f t="shared" si="57"/>
        <v>-986036.3699999973</v>
      </c>
      <c r="P56" s="47">
        <f t="shared" si="57"/>
        <v>33692.74000000294</v>
      </c>
      <c r="Q56" s="47">
        <f t="shared" si="57"/>
        <v>61787.760000000235</v>
      </c>
      <c r="R56" s="47">
        <f t="shared" si="57"/>
        <v>-1584508.3100000042</v>
      </c>
      <c r="S56" s="47">
        <f t="shared" si="57"/>
        <v>50689.359999999746</v>
      </c>
      <c r="T56" s="47">
        <f t="shared" si="57"/>
        <v>-2567409.5200000005</v>
      </c>
      <c r="U56" s="47">
        <f aca="true" t="shared" si="58" ref="U56:V56">U54+U55</f>
        <v>45.38</v>
      </c>
      <c r="V56" s="47">
        <f t="shared" si="58"/>
        <v>325472.0999999998</v>
      </c>
      <c r="W56" s="47">
        <f aca="true" t="shared" si="59" ref="W56">W54+W55</f>
        <v>67812.20000000001</v>
      </c>
      <c r="X56" s="47">
        <f>X54+X55</f>
        <v>-398.32999999983946</v>
      </c>
      <c r="Y56" s="47">
        <f>Y54+Y55</f>
        <v>0</v>
      </c>
      <c r="Z56" s="47">
        <f>Z54+Z55</f>
        <v>-112563.55999999998</v>
      </c>
      <c r="AA56" s="47">
        <f>AA54+AA55</f>
        <v>-59464913.11</v>
      </c>
      <c r="AB56" s="35"/>
    </row>
    <row r="57" spans="1:29" s="36" customFormat="1" ht="18" customHeight="1">
      <c r="A57" s="35" t="s">
        <v>181</v>
      </c>
      <c r="B57" s="48">
        <f t="shared" si="0"/>
        <v>0</v>
      </c>
      <c r="C57" s="47"/>
      <c r="D57" s="47"/>
      <c r="E57" s="47"/>
      <c r="F57" s="47"/>
      <c r="G57" s="47"/>
      <c r="H57" s="47"/>
      <c r="I57" s="47"/>
      <c r="J57" s="47"/>
      <c r="K57" s="47"/>
      <c r="L57" s="47"/>
      <c r="M57" s="47"/>
      <c r="N57" s="47"/>
      <c r="O57" s="47"/>
      <c r="P57" s="47"/>
      <c r="Q57" s="47"/>
      <c r="R57" s="47"/>
      <c r="S57" s="47"/>
      <c r="T57" s="47"/>
      <c r="U57" s="47"/>
      <c r="V57" s="47"/>
      <c r="W57" s="47"/>
      <c r="X57" s="47"/>
      <c r="Y57" s="47"/>
      <c r="Z57" s="47"/>
      <c r="AA57" s="47">
        <f>-'[19]2291'!$D$32+'[19]2291'!$L$27</f>
        <v>0</v>
      </c>
      <c r="AB57" s="35"/>
      <c r="AC57" s="35"/>
    </row>
    <row r="58" spans="1:32" s="36" customFormat="1" ht="18" customHeight="1">
      <c r="A58" s="74" t="s">
        <v>182</v>
      </c>
      <c r="B58" s="124">
        <f t="shared" si="0"/>
        <v>-156749985.37999994</v>
      </c>
      <c r="C58" s="75">
        <f aca="true" t="shared" si="60" ref="C58:G58">C56-C57</f>
        <v>-3583992.7800000003</v>
      </c>
      <c r="D58" s="75">
        <f aca="true" t="shared" si="61" ref="D58:F58">D56-D57</f>
        <v>61037.049999999144</v>
      </c>
      <c r="E58" s="75">
        <f t="shared" si="60"/>
        <v>23117996.710000012</v>
      </c>
      <c r="F58" s="75">
        <f t="shared" si="61"/>
        <v>-983216.8199999863</v>
      </c>
      <c r="G58" s="75">
        <f t="shared" si="60"/>
        <v>-14748479.560000004</v>
      </c>
      <c r="H58" s="75">
        <f aca="true" t="shared" si="62" ref="H58">H56-H57</f>
        <v>-393941.1499999969</v>
      </c>
      <c r="I58" s="75">
        <f aca="true" t="shared" si="63" ref="I58">I56-I57</f>
        <v>-30059197.88</v>
      </c>
      <c r="J58" s="75">
        <f aca="true" t="shared" si="64" ref="J58:T58">J56-J57</f>
        <v>-37805278.089999996</v>
      </c>
      <c r="K58" s="75">
        <f t="shared" si="64"/>
        <v>-4739736.19</v>
      </c>
      <c r="L58" s="75">
        <f t="shared" si="64"/>
        <v>-8495528.47</v>
      </c>
      <c r="M58" s="75">
        <f t="shared" si="64"/>
        <v>-13725649.99</v>
      </c>
      <c r="N58" s="75">
        <f t="shared" si="64"/>
        <v>-1217668.5499999998</v>
      </c>
      <c r="O58" s="75">
        <f t="shared" si="64"/>
        <v>-986036.3699999973</v>
      </c>
      <c r="P58" s="75">
        <f t="shared" si="64"/>
        <v>33692.74000000294</v>
      </c>
      <c r="Q58" s="75">
        <f t="shared" si="64"/>
        <v>61787.760000000235</v>
      </c>
      <c r="R58" s="75">
        <f t="shared" si="64"/>
        <v>-1584508.3100000042</v>
      </c>
      <c r="S58" s="75">
        <f t="shared" si="64"/>
        <v>50689.359999999746</v>
      </c>
      <c r="T58" s="75">
        <f t="shared" si="64"/>
        <v>-2567409.5200000005</v>
      </c>
      <c r="U58" s="75">
        <f>U56-U57</f>
        <v>45.38</v>
      </c>
      <c r="V58" s="75">
        <f>V56-V57</f>
        <v>325472.0999999998</v>
      </c>
      <c r="W58" s="75">
        <f>W56-W57</f>
        <v>67812.20000000001</v>
      </c>
      <c r="X58" s="75">
        <f aca="true" t="shared" si="65" ref="X58">X56-X57</f>
        <v>-398.32999999983946</v>
      </c>
      <c r="Y58" s="75">
        <f aca="true" t="shared" si="66" ref="Y58:AA58">Y56-Y57</f>
        <v>0</v>
      </c>
      <c r="Z58" s="75">
        <f aca="true" t="shared" si="67" ref="Z58">Z56-Z57</f>
        <v>-112563.55999999998</v>
      </c>
      <c r="AA58" s="75">
        <f t="shared" si="66"/>
        <v>-59464913.11</v>
      </c>
      <c r="AB58" s="35"/>
      <c r="AC58" s="35"/>
      <c r="AF58" s="44"/>
    </row>
    <row r="59" spans="1:29" s="36" customFormat="1" ht="18" customHeight="1">
      <c r="A59" s="64"/>
      <c r="B59" s="37"/>
      <c r="C59" s="120"/>
      <c r="D59" s="120"/>
      <c r="E59" s="120"/>
      <c r="F59" s="120"/>
      <c r="G59" s="120"/>
      <c r="H59" s="120"/>
      <c r="I59" s="120"/>
      <c r="J59" s="120"/>
      <c r="K59" s="120"/>
      <c r="L59" s="120"/>
      <c r="M59" s="120"/>
      <c r="N59" s="120"/>
      <c r="O59" s="120"/>
      <c r="P59" s="120"/>
      <c r="Q59" s="120"/>
      <c r="R59" s="120"/>
      <c r="S59" s="120"/>
      <c r="T59" s="120"/>
      <c r="U59" s="120"/>
      <c r="V59" s="120"/>
      <c r="W59" s="120"/>
      <c r="X59" s="35"/>
      <c r="AB59" s="35"/>
      <c r="AC59" s="35"/>
    </row>
    <row r="60" spans="1:28" s="36" customFormat="1" ht="18" customHeight="1">
      <c r="A60" s="64"/>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5"/>
    </row>
    <row r="61" spans="1:28" s="36" customFormat="1" ht="18" customHeight="1">
      <c r="A61" s="36" t="s">
        <v>183</v>
      </c>
      <c r="B61" s="28"/>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5"/>
    </row>
    <row r="62" spans="1:27" s="36" customFormat="1" ht="18" customHeight="1">
      <c r="A62" s="36" t="s">
        <v>186</v>
      </c>
      <c r="B62" s="28"/>
      <c r="C62" s="20"/>
      <c r="D62" s="20"/>
      <c r="E62" s="20"/>
      <c r="F62" s="20"/>
      <c r="G62" s="20"/>
      <c r="H62" s="20"/>
      <c r="I62" s="20"/>
      <c r="J62" s="20"/>
      <c r="K62" s="20"/>
      <c r="L62" s="20"/>
      <c r="M62" s="20"/>
      <c r="N62" s="20"/>
      <c r="O62" s="20"/>
      <c r="P62" s="20"/>
      <c r="Q62" s="20"/>
      <c r="R62" s="20"/>
      <c r="S62" s="20"/>
      <c r="T62" s="20"/>
      <c r="U62" s="20"/>
      <c r="V62" s="20"/>
      <c r="W62" s="20"/>
      <c r="X62" s="20"/>
      <c r="Y62" s="20"/>
      <c r="Z62" s="20"/>
      <c r="AA62" s="20"/>
    </row>
    <row r="63" spans="1:28" s="36" customFormat="1" ht="18" customHeight="1">
      <c r="A63" s="36" t="s">
        <v>185</v>
      </c>
      <c r="B63" s="28"/>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37"/>
    </row>
    <row r="64" spans="1:32" ht="15.75">
      <c r="A64" s="36"/>
      <c r="AC64" s="36"/>
      <c r="AD64" s="36"/>
      <c r="AE64" s="36"/>
      <c r="AF64" s="36"/>
    </row>
    <row r="65" spans="1:32" ht="15.75">
      <c r="A65" s="64" t="s">
        <v>191</v>
      </c>
      <c r="AC65" s="36"/>
      <c r="AD65" s="36"/>
      <c r="AE65" s="36"/>
      <c r="AF65" s="36"/>
    </row>
    <row r="66" spans="1:32" ht="18" customHeight="1">
      <c r="A66" s="35"/>
      <c r="AC66" s="36"/>
      <c r="AD66" s="36"/>
      <c r="AE66" s="36"/>
      <c r="AF66" s="36"/>
    </row>
    <row r="67" spans="28:32" ht="18" customHeight="1">
      <c r="AB67" s="28"/>
      <c r="AC67" s="36"/>
      <c r="AD67" s="36"/>
      <c r="AE67" s="36"/>
      <c r="AF67" s="36"/>
    </row>
    <row r="68" spans="29:32" ht="18" customHeight="1">
      <c r="AC68" s="36"/>
      <c r="AD68" s="36"/>
      <c r="AE68" s="36"/>
      <c r="AF68" s="36"/>
    </row>
    <row r="69" spans="29:32" ht="18" customHeight="1">
      <c r="AC69" s="36"/>
      <c r="AD69" s="36"/>
      <c r="AE69" s="36"/>
      <c r="AF69" s="36"/>
    </row>
    <row r="70" spans="29:32" ht="15.75">
      <c r="AC70" s="36"/>
      <c r="AD70" s="36"/>
      <c r="AE70" s="36"/>
      <c r="AF70" s="36"/>
    </row>
    <row r="75" spans="29:31" ht="12.75">
      <c r="AC75" s="28"/>
      <c r="AE75" s="28"/>
    </row>
  </sheetData>
  <printOptions/>
  <pageMargins left="0.31496062992125984" right="0.31496062992125984" top="0.5905511811023623" bottom="0.5905511811023623" header="0" footer="0"/>
  <pageSetup fitToHeight="1"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2"/>
  <sheetViews>
    <sheetView zoomScale="75" zoomScaleNormal="75" workbookViewId="0" topLeftCell="A1">
      <selection activeCell="B1" sqref="B1"/>
    </sheetView>
  </sheetViews>
  <sheetFormatPr defaultColWidth="11.421875" defaultRowHeight="12.75"/>
  <cols>
    <col min="1" max="1" width="6.57421875" style="3" customWidth="1"/>
    <col min="2" max="2" width="47.00390625" style="3" bestFit="1" customWidth="1"/>
    <col min="3" max="3" width="62.140625" style="3" customWidth="1"/>
    <col min="4" max="4" width="18.7109375" style="3" customWidth="1"/>
    <col min="5" max="6" width="18.00390625" style="3" customWidth="1"/>
    <col min="7" max="7" width="34.00390625" style="3" hidden="1" customWidth="1"/>
    <col min="8" max="8" width="46.00390625" style="3" hidden="1" customWidth="1"/>
    <col min="9" max="9" width="22.57421875" style="3" hidden="1" customWidth="1"/>
    <col min="10" max="10" width="34.28125" style="3" hidden="1" customWidth="1"/>
    <col min="11" max="11" width="23.421875" style="3" hidden="1" customWidth="1"/>
    <col min="12" max="12" width="19.421875" style="3" hidden="1" customWidth="1"/>
    <col min="13" max="13" width="68.8515625" style="3" hidden="1" customWidth="1"/>
    <col min="14" max="14" width="38.28125" style="3" hidden="1" customWidth="1"/>
    <col min="15" max="15" width="37.140625" style="3" hidden="1" customWidth="1"/>
    <col min="16" max="16" width="34.421875" style="3" hidden="1" customWidth="1"/>
    <col min="17" max="17" width="30.8515625" style="3" hidden="1" customWidth="1"/>
    <col min="18" max="18" width="76.7109375" style="3" hidden="1" customWidth="1"/>
    <col min="19" max="19" width="31.7109375" style="3" hidden="1" customWidth="1"/>
    <col min="20" max="21" width="56.140625" style="3" hidden="1" customWidth="1"/>
    <col min="22" max="22" width="67.140625" style="3" hidden="1" customWidth="1"/>
    <col min="23" max="23" width="42.28125" style="3" hidden="1" customWidth="1"/>
    <col min="24" max="24" width="62.00390625" style="3" hidden="1" customWidth="1"/>
    <col min="25" max="25" width="49.421875" style="3" hidden="1" customWidth="1"/>
    <col min="26" max="26" width="24.57421875" style="3" hidden="1" customWidth="1"/>
    <col min="27" max="28" width="77.7109375" style="3" hidden="1" customWidth="1"/>
    <col min="29" max="30" width="71.140625" style="3" hidden="1" customWidth="1"/>
    <col min="31" max="31" width="25.28125" style="3" hidden="1" customWidth="1"/>
    <col min="32" max="16384" width="11.421875" style="3" customWidth="1"/>
  </cols>
  <sheetData>
    <row r="1" spans="1:41" ht="60" customHeight="1">
      <c r="A1" s="8"/>
      <c r="B1" s="10"/>
      <c r="C1" s="10" t="s">
        <v>29</v>
      </c>
      <c r="D1" s="11">
        <f>Balance!AF1</f>
        <v>1995</v>
      </c>
      <c r="E1" s="3"/>
      <c r="F1" s="3"/>
      <c r="G1" s="50"/>
      <c r="H1" s="50"/>
      <c r="I1" s="50"/>
      <c r="J1" s="50"/>
      <c r="K1" s="50"/>
      <c r="L1" s="50"/>
      <c r="M1" s="50"/>
      <c r="N1" s="50"/>
      <c r="O1" s="50"/>
      <c r="P1" s="50"/>
      <c r="Q1" s="50"/>
      <c r="R1" s="50"/>
      <c r="S1" s="50"/>
      <c r="T1" s="50"/>
      <c r="U1" s="50"/>
      <c r="V1" s="50"/>
      <c r="W1" s="51"/>
      <c r="X1" s="51"/>
      <c r="Y1" s="51"/>
      <c r="Z1" s="51"/>
      <c r="AA1" s="51"/>
      <c r="AB1" s="51"/>
      <c r="AC1" s="51"/>
      <c r="AD1" s="51"/>
      <c r="AE1" s="51"/>
      <c r="AF1" s="51"/>
      <c r="AG1" s="51"/>
      <c r="AH1" s="51"/>
      <c r="AI1" s="51"/>
      <c r="AJ1" s="51"/>
      <c r="AK1" s="51"/>
      <c r="AL1" s="51"/>
      <c r="AM1" s="51"/>
      <c r="AN1" s="51"/>
      <c r="AO1" s="51"/>
    </row>
    <row r="2" spans="1:41" ht="12.95" customHeight="1" thickBot="1">
      <c r="A2" s="8"/>
      <c r="B2" s="9"/>
      <c r="C2" s="9"/>
      <c r="D2" s="12"/>
      <c r="E2" s="3"/>
      <c r="F2" s="3"/>
      <c r="G2" s="50"/>
      <c r="H2" s="50"/>
      <c r="I2" s="50"/>
      <c r="J2" s="50"/>
      <c r="K2" s="50"/>
      <c r="L2" s="50"/>
      <c r="M2" s="50"/>
      <c r="N2" s="50"/>
      <c r="O2" s="50"/>
      <c r="P2" s="50"/>
      <c r="Q2" s="50"/>
      <c r="R2" s="50"/>
      <c r="S2" s="50"/>
      <c r="T2" s="50"/>
      <c r="U2" s="50"/>
      <c r="V2" s="50"/>
      <c r="W2" s="51"/>
      <c r="X2" s="51"/>
      <c r="Y2" s="51"/>
      <c r="Z2" s="51"/>
      <c r="AA2" s="51"/>
      <c r="AB2" s="51"/>
      <c r="AC2" s="51"/>
      <c r="AD2" s="51"/>
      <c r="AE2" s="51"/>
      <c r="AF2" s="51"/>
      <c r="AG2" s="51"/>
      <c r="AH2" s="51"/>
      <c r="AI2" s="51"/>
      <c r="AJ2" s="51"/>
      <c r="AK2" s="51"/>
      <c r="AL2" s="51"/>
      <c r="AM2" s="51"/>
      <c r="AN2" s="51"/>
      <c r="AO2" s="51"/>
    </row>
    <row r="3" spans="1:43" ht="33" customHeight="1">
      <c r="A3" s="76" t="str">
        <f>"                                            "&amp;"SECTOR INSTRUMENTAL"</f>
        <v xml:space="preserve">                                            SECTOR INSTRUMENTAL</v>
      </c>
      <c r="B3" s="13"/>
      <c r="C3" s="13"/>
      <c r="D3" s="13"/>
      <c r="E3" s="3"/>
      <c r="F3" s="3"/>
      <c r="G3" s="46"/>
      <c r="H3" s="46"/>
      <c r="I3" s="46"/>
      <c r="J3" s="46"/>
      <c r="K3" s="46"/>
      <c r="L3" s="46"/>
      <c r="M3" s="46"/>
      <c r="N3" s="46"/>
      <c r="O3" s="46"/>
      <c r="P3" s="46"/>
      <c r="Q3" s="46"/>
      <c r="R3" s="46"/>
      <c r="S3" s="46"/>
      <c r="T3" s="46"/>
      <c r="U3" s="46"/>
      <c r="V3" s="46"/>
      <c r="W3" s="46"/>
      <c r="X3" s="46"/>
      <c r="Y3" s="46"/>
      <c r="Z3" s="46"/>
      <c r="AA3" s="46"/>
      <c r="AB3" s="46"/>
      <c r="AC3" s="46"/>
      <c r="AD3" s="46"/>
      <c r="AE3" s="46"/>
      <c r="AF3" s="3"/>
      <c r="AG3" s="3"/>
      <c r="AH3" s="52"/>
      <c r="AI3" s="52"/>
      <c r="AJ3" s="52"/>
      <c r="AK3" s="52"/>
      <c r="AL3" s="52"/>
      <c r="AM3" s="52"/>
      <c r="AN3" s="52"/>
      <c r="AO3" s="52"/>
      <c r="AP3" s="52"/>
      <c r="AQ3" s="52"/>
    </row>
    <row r="4" spans="1:39" ht="20.1" customHeight="1">
      <c r="A4" s="17" t="str">
        <f>"AGREGADO"</f>
        <v>AGREGADO</v>
      </c>
      <c r="B4" s="79"/>
      <c r="C4" s="79"/>
      <c r="D4" s="79"/>
      <c r="E4" s="3"/>
      <c r="F4" s="3"/>
      <c r="G4" s="46"/>
      <c r="H4" s="46"/>
      <c r="I4" s="46"/>
      <c r="J4" s="46"/>
      <c r="K4" s="46"/>
      <c r="L4" s="46"/>
      <c r="M4" s="46"/>
      <c r="N4" s="46"/>
      <c r="O4" s="46"/>
      <c r="P4" s="46"/>
      <c r="Q4" s="46"/>
      <c r="R4" s="46"/>
      <c r="S4" s="46"/>
      <c r="T4" s="46"/>
      <c r="U4" s="46"/>
      <c r="V4" s="46"/>
      <c r="W4" s="46"/>
      <c r="X4" s="46"/>
      <c r="Y4" s="46"/>
      <c r="Z4" s="46"/>
      <c r="AA4" s="46"/>
      <c r="AB4" s="46"/>
      <c r="AC4" s="46"/>
      <c r="AD4" s="46"/>
      <c r="AE4" s="46"/>
      <c r="AF4" s="3"/>
      <c r="AG4" s="3"/>
      <c r="AH4" s="54"/>
      <c r="AI4" s="54"/>
      <c r="AJ4" s="54"/>
      <c r="AK4" s="54"/>
      <c r="AL4" s="54"/>
      <c r="AM4" s="54"/>
    </row>
    <row r="5" spans="1:39" ht="18" customHeight="1" thickBot="1">
      <c r="A5" s="21"/>
      <c r="B5" s="49"/>
      <c r="C5" s="49"/>
      <c r="D5" s="93"/>
      <c r="E5" s="3"/>
      <c r="F5" s="3"/>
      <c r="G5" s="46"/>
      <c r="H5" s="46"/>
      <c r="I5" s="46"/>
      <c r="J5" s="46"/>
      <c r="K5" s="46"/>
      <c r="L5" s="46"/>
      <c r="M5" s="46"/>
      <c r="N5" s="46"/>
      <c r="O5" s="46"/>
      <c r="P5" s="46"/>
      <c r="Q5" s="46"/>
      <c r="R5" s="46"/>
      <c r="S5" s="46"/>
      <c r="T5" s="46"/>
      <c r="U5" s="1"/>
      <c r="V5" s="46"/>
      <c r="W5" s="46"/>
      <c r="X5" s="46"/>
      <c r="Y5" s="1"/>
      <c r="Z5" s="46"/>
      <c r="AA5" s="46"/>
      <c r="AB5" s="46"/>
      <c r="AC5" s="46"/>
      <c r="AD5" s="46"/>
      <c r="AE5" s="46"/>
      <c r="AF5" s="3"/>
      <c r="AG5" s="3"/>
      <c r="AH5" s="54"/>
      <c r="AI5" s="54"/>
      <c r="AJ5" s="54"/>
      <c r="AK5" s="54"/>
      <c r="AL5" s="54"/>
      <c r="AM5" s="54"/>
    </row>
    <row r="6" spans="1:37" ht="15" customHeight="1">
      <c r="A6" s="94"/>
      <c r="B6" s="95"/>
      <c r="C6" s="95"/>
      <c r="D6" s="2"/>
      <c r="E6" s="3"/>
      <c r="F6" s="3"/>
      <c r="G6" s="46"/>
      <c r="H6" s="46"/>
      <c r="I6" s="46"/>
      <c r="J6" s="46"/>
      <c r="K6" s="46"/>
      <c r="L6" s="46"/>
      <c r="M6" s="46"/>
      <c r="N6" s="46"/>
      <c r="O6" s="46"/>
      <c r="P6" s="46"/>
      <c r="Q6" s="46"/>
      <c r="R6" s="46"/>
      <c r="S6" s="46"/>
      <c r="T6" s="46"/>
      <c r="U6" s="46"/>
      <c r="V6" s="46"/>
      <c r="W6" s="46"/>
      <c r="X6" s="46"/>
      <c r="Y6" s="46"/>
      <c r="Z6" s="1"/>
      <c r="AA6" s="46"/>
      <c r="AB6" s="46"/>
      <c r="AC6" s="3"/>
      <c r="AD6" s="3"/>
      <c r="AE6" s="54"/>
      <c r="AF6" s="54"/>
      <c r="AG6" s="54"/>
      <c r="AH6" s="54"/>
      <c r="AI6" s="54"/>
      <c r="AJ6" s="54"/>
      <c r="AK6" s="54"/>
    </row>
    <row r="7" spans="1:41" ht="12.95" customHeight="1">
      <c r="A7" s="96"/>
      <c r="B7" s="96"/>
      <c r="C7" s="96"/>
      <c r="D7" s="96"/>
      <c r="E7" s="3"/>
      <c r="F7" s="96"/>
      <c r="G7" s="46"/>
      <c r="H7" s="46"/>
      <c r="I7" s="46"/>
      <c r="J7" s="46"/>
      <c r="K7" s="46"/>
      <c r="L7" s="46"/>
      <c r="M7" s="46"/>
      <c r="N7" s="46"/>
      <c r="O7" s="46"/>
      <c r="P7" s="46"/>
      <c r="Q7" s="46"/>
      <c r="R7" s="46"/>
      <c r="S7" s="46"/>
      <c r="T7" s="46"/>
      <c r="U7" s="46"/>
      <c r="V7" s="46"/>
      <c r="W7" s="46"/>
      <c r="X7" s="46"/>
      <c r="Y7" s="46"/>
      <c r="Z7" s="46"/>
      <c r="AA7" s="46"/>
      <c r="AB7" s="46"/>
      <c r="AC7" s="46"/>
      <c r="AD7" s="46"/>
      <c r="AE7" s="51"/>
      <c r="AF7" s="51"/>
      <c r="AG7" s="51"/>
      <c r="AH7" s="51"/>
      <c r="AI7" s="51"/>
      <c r="AJ7" s="51"/>
      <c r="AK7" s="51"/>
      <c r="AL7" s="51"/>
      <c r="AM7" s="51"/>
      <c r="AN7" s="51"/>
      <c r="AO7" s="51"/>
    </row>
    <row r="8" spans="1:31" s="36" customFormat="1" ht="21" customHeight="1">
      <c r="A8" s="97" t="s">
        <v>68</v>
      </c>
      <c r="G8" s="46">
        <v>21400</v>
      </c>
      <c r="H8" s="46">
        <v>21401</v>
      </c>
      <c r="I8" s="46">
        <v>21500</v>
      </c>
      <c r="J8" s="46">
        <v>21501</v>
      </c>
      <c r="K8" s="46">
        <v>21502</v>
      </c>
      <c r="L8" s="46">
        <v>21503</v>
      </c>
      <c r="M8" s="46">
        <v>22100</v>
      </c>
      <c r="N8" s="46">
        <v>22102</v>
      </c>
      <c r="O8" s="46">
        <v>22103</v>
      </c>
      <c r="P8" s="46">
        <v>22104</v>
      </c>
      <c r="Q8" s="46">
        <v>22105</v>
      </c>
      <c r="R8" s="46">
        <v>22106</v>
      </c>
      <c r="S8" s="46">
        <v>22107</v>
      </c>
      <c r="T8" s="46">
        <v>22200</v>
      </c>
      <c r="U8" s="46">
        <v>22201</v>
      </c>
      <c r="V8" s="46">
        <v>22202</v>
      </c>
      <c r="W8" s="46">
        <v>22205</v>
      </c>
      <c r="X8" s="46">
        <v>22206</v>
      </c>
      <c r="Y8" s="46">
        <v>22231</v>
      </c>
      <c r="Z8" s="46">
        <v>22233</v>
      </c>
      <c r="AA8" s="46">
        <v>22234</v>
      </c>
      <c r="AB8" s="46">
        <v>22235</v>
      </c>
      <c r="AC8" s="46">
        <v>22236</v>
      </c>
      <c r="AD8" s="46">
        <v>22240</v>
      </c>
      <c r="AE8" s="46">
        <v>22901</v>
      </c>
    </row>
    <row r="9" spans="1:27" s="36" customFormat="1" ht="21" customHeight="1">
      <c r="A9" s="97"/>
      <c r="G9" s="46"/>
      <c r="H9" s="46"/>
      <c r="M9" s="46"/>
      <c r="N9" s="46"/>
      <c r="O9" s="46"/>
      <c r="P9" s="46"/>
      <c r="Q9" s="46"/>
      <c r="R9" s="46"/>
      <c r="S9" s="46"/>
      <c r="T9" s="46"/>
      <c r="U9" s="46"/>
      <c r="V9" s="46"/>
      <c r="W9" s="46"/>
      <c r="Z9" s="46"/>
      <c r="AA9" s="46"/>
    </row>
    <row r="10" spans="1:31" s="36" customFormat="1" ht="12.95" customHeight="1">
      <c r="A10" s="97"/>
      <c r="G10" s="46" t="s">
        <v>214</v>
      </c>
      <c r="H10" s="46" t="s">
        <v>214</v>
      </c>
      <c r="I10" s="46" t="s">
        <v>24</v>
      </c>
      <c r="J10" s="46" t="s">
        <v>214</v>
      </c>
      <c r="K10" s="46" t="s">
        <v>200</v>
      </c>
      <c r="L10" s="46" t="s">
        <v>200</v>
      </c>
      <c r="M10" s="46" t="s">
        <v>97</v>
      </c>
      <c r="N10" s="46" t="s">
        <v>97</v>
      </c>
      <c r="O10" s="46" t="s">
        <v>97</v>
      </c>
      <c r="P10" s="46" t="s">
        <v>97</v>
      </c>
      <c r="Q10" s="46" t="s">
        <v>97</v>
      </c>
      <c r="R10" s="46" t="s">
        <v>97</v>
      </c>
      <c r="S10" s="46" t="s">
        <v>97</v>
      </c>
      <c r="T10" s="46" t="s">
        <v>97</v>
      </c>
      <c r="U10" s="46" t="s">
        <v>97</v>
      </c>
      <c r="V10" s="46" t="s">
        <v>97</v>
      </c>
      <c r="W10" s="46" t="s">
        <v>97</v>
      </c>
      <c r="X10" s="46" t="s">
        <v>97</v>
      </c>
      <c r="Y10" s="46" t="s">
        <v>192</v>
      </c>
      <c r="Z10" s="46" t="s">
        <v>192</v>
      </c>
      <c r="AA10" s="46" t="s">
        <v>192</v>
      </c>
      <c r="AB10" s="46" t="s">
        <v>208</v>
      </c>
      <c r="AC10" s="46" t="s">
        <v>192</v>
      </c>
      <c r="AD10" s="46" t="s">
        <v>192</v>
      </c>
      <c r="AE10" s="46" t="s">
        <v>98</v>
      </c>
    </row>
    <row r="11" spans="7:31" s="36" customFormat="1" ht="12.95" customHeight="1" thickBot="1">
      <c r="G11" s="46" t="s">
        <v>0</v>
      </c>
      <c r="H11" s="46" t="s">
        <v>1</v>
      </c>
      <c r="I11" s="46" t="s">
        <v>2</v>
      </c>
      <c r="J11" s="46" t="s">
        <v>3</v>
      </c>
      <c r="K11" s="46" t="s">
        <v>4</v>
      </c>
      <c r="L11" s="46" t="s">
        <v>5</v>
      </c>
      <c r="M11" s="46" t="s">
        <v>6</v>
      </c>
      <c r="N11" s="46" t="s">
        <v>8</v>
      </c>
      <c r="O11" s="46" t="s">
        <v>9</v>
      </c>
      <c r="P11" s="46" t="s">
        <v>10</v>
      </c>
      <c r="Q11" s="46" t="s">
        <v>11</v>
      </c>
      <c r="R11" s="46" t="s">
        <v>12</v>
      </c>
      <c r="S11" s="46" t="s">
        <v>13</v>
      </c>
      <c r="T11" s="46" t="s">
        <v>14</v>
      </c>
      <c r="U11" s="46" t="s">
        <v>96</v>
      </c>
      <c r="V11" s="46" t="s">
        <v>15</v>
      </c>
      <c r="W11" s="46" t="s">
        <v>212</v>
      </c>
      <c r="X11" s="46" t="s">
        <v>213</v>
      </c>
      <c r="Y11" s="46" t="s">
        <v>210</v>
      </c>
      <c r="Z11" s="46" t="s">
        <v>196</v>
      </c>
      <c r="AA11" s="46" t="s">
        <v>197</v>
      </c>
      <c r="AB11" s="46" t="s">
        <v>199</v>
      </c>
      <c r="AC11" s="46" t="s">
        <v>204</v>
      </c>
      <c r="AD11" s="46" t="s">
        <v>211</v>
      </c>
      <c r="AE11" s="46" t="s">
        <v>25</v>
      </c>
    </row>
    <row r="12" spans="1:30" s="36" customFormat="1" ht="33" customHeight="1">
      <c r="A12" s="134" t="s">
        <v>71</v>
      </c>
      <c r="B12" s="134"/>
      <c r="C12" s="29"/>
      <c r="D12" s="30">
        <f>D1</f>
        <v>1995</v>
      </c>
      <c r="G12" s="46"/>
      <c r="H12" s="46"/>
      <c r="M12" s="46"/>
      <c r="N12" s="46"/>
      <c r="O12" s="46"/>
      <c r="P12" s="46"/>
      <c r="Q12" s="46"/>
      <c r="R12" s="46"/>
      <c r="S12" s="46"/>
      <c r="T12" s="46"/>
      <c r="U12" s="46"/>
      <c r="V12" s="46"/>
      <c r="W12" s="46"/>
      <c r="X12" s="46"/>
      <c r="Y12" s="46"/>
      <c r="Z12" s="46"/>
      <c r="AA12" s="46"/>
      <c r="AB12" s="46"/>
      <c r="AC12" s="46"/>
      <c r="AD12" s="46"/>
    </row>
    <row r="13" spans="1:31" s="36" customFormat="1" ht="18" customHeight="1" thickBot="1">
      <c r="A13" s="103" t="s">
        <v>64</v>
      </c>
      <c r="B13" s="104"/>
      <c r="C13" s="104"/>
      <c r="D13" s="105">
        <f>SUM(G13:AE13)</f>
        <v>13959</v>
      </c>
      <c r="G13" s="99">
        <f>'[20]8100'!$D$6</f>
        <v>210</v>
      </c>
      <c r="H13" s="99">
        <f>'[21]8100'!$D$6</f>
        <v>148</v>
      </c>
      <c r="I13" s="99">
        <f>'[22]8100'!$D$6</f>
        <v>4403</v>
      </c>
      <c r="J13" s="99">
        <f>'[23]8100'!$D$6</f>
        <v>2453</v>
      </c>
      <c r="K13" s="99">
        <f>'[24]8100'!$D$6</f>
        <v>1761</v>
      </c>
      <c r="L13" s="99">
        <f>'[25]8100'!$D$6</f>
        <v>2126</v>
      </c>
      <c r="M13" s="99">
        <f>'[1]8200'!$D$6</f>
        <v>118</v>
      </c>
      <c r="N13" s="99">
        <f>'[2]8200'!$D$6</f>
        <v>1130</v>
      </c>
      <c r="O13" s="99">
        <f>'[3]8200'!$D$6</f>
        <v>62</v>
      </c>
      <c r="P13" s="99">
        <f>'[4]8200'!$D$6</f>
        <v>77</v>
      </c>
      <c r="Q13" s="99">
        <f>'[5]8200'!$D$6</f>
        <v>82</v>
      </c>
      <c r="R13" s="99">
        <f>'[6]8200'!$D$6</f>
        <v>29</v>
      </c>
      <c r="S13" s="99">
        <f>'[7]8200'!$D$6</f>
        <v>52</v>
      </c>
      <c r="T13" s="99">
        <f>'[8]8200'!$D$6</f>
        <v>361</v>
      </c>
      <c r="U13" s="99">
        <f>'[9]8200'!$D$6</f>
        <v>35</v>
      </c>
      <c r="V13" s="99">
        <f>'[10]8200'!$D$6</f>
        <v>185</v>
      </c>
      <c r="W13" s="99">
        <f>'[11]8200'!$D$6</f>
        <v>49</v>
      </c>
      <c r="X13" s="99">
        <f>'[12]8200'!$D$6</f>
        <v>10</v>
      </c>
      <c r="Y13" s="99">
        <f>'[13]8200'!$D$6</f>
        <v>0</v>
      </c>
      <c r="Z13" s="99">
        <f>'[14]8200'!$D$6</f>
        <v>1</v>
      </c>
      <c r="AA13" s="99">
        <f>'[15]8200'!$D$6</f>
        <v>0</v>
      </c>
      <c r="AB13" s="99">
        <f>'[16]8200'!$D$6</f>
        <v>12</v>
      </c>
      <c r="AC13" s="99">
        <f>'[17]8200'!$D$6</f>
        <v>0</v>
      </c>
      <c r="AD13" s="99">
        <f>'[18]8200'!$D$6</f>
        <v>2</v>
      </c>
      <c r="AE13" s="99">
        <f>'[19]8290'!$D$6</f>
        <v>653</v>
      </c>
    </row>
    <row r="14" spans="1:31" s="36" customFormat="1" ht="18" customHeight="1">
      <c r="A14" s="3"/>
      <c r="B14" s="3"/>
      <c r="C14" s="3"/>
      <c r="D14" s="3"/>
      <c r="G14" s="99"/>
      <c r="H14" s="99"/>
      <c r="I14" s="46"/>
      <c r="J14" s="46"/>
      <c r="K14" s="46"/>
      <c r="L14" s="46"/>
      <c r="M14" s="99"/>
      <c r="N14" s="99"/>
      <c r="O14" s="99"/>
      <c r="P14" s="99"/>
      <c r="Q14" s="99"/>
      <c r="R14" s="99"/>
      <c r="S14" s="99"/>
      <c r="T14" s="99"/>
      <c r="U14" s="99"/>
      <c r="V14" s="99"/>
      <c r="W14" s="99"/>
      <c r="X14" s="99"/>
      <c r="Y14" s="99"/>
      <c r="Z14" s="99"/>
      <c r="AA14" s="99"/>
      <c r="AB14" s="99"/>
      <c r="AC14" s="99"/>
      <c r="AD14" s="99"/>
      <c r="AE14" s="99"/>
    </row>
    <row r="15" spans="1:31" s="36" customFormat="1" ht="18" customHeight="1">
      <c r="A15" s="1" t="str">
        <f>"* En su defecto, empleados a fin de ejercicio. En "&amp;COUNTIF(G13:AE13,"Sin información")&amp;" de las "&amp;COUNTA(G13:AE13)&amp;" cuentas agregadas, la memoria no ofrece dicha información."</f>
        <v>* En su defecto, empleados a fin de ejercicio. En 0 de las 25 cuentas agregadas, la memoria no ofrece dicha información.</v>
      </c>
      <c r="B15" s="3"/>
      <c r="C15" s="3"/>
      <c r="D15" s="3"/>
      <c r="G15" s="99"/>
      <c r="H15" s="99"/>
      <c r="M15" s="99"/>
      <c r="N15" s="99"/>
      <c r="O15" s="99"/>
      <c r="P15" s="99"/>
      <c r="Q15" s="99"/>
      <c r="R15" s="99"/>
      <c r="S15" s="99"/>
      <c r="T15" s="99"/>
      <c r="U15" s="99"/>
      <c r="V15" s="99"/>
      <c r="W15" s="99"/>
      <c r="X15" s="99"/>
      <c r="Y15" s="99"/>
      <c r="Z15" s="99"/>
      <c r="AA15" s="99"/>
      <c r="AB15" s="99"/>
      <c r="AC15" s="99"/>
      <c r="AD15" s="99"/>
      <c r="AE15" s="99"/>
    </row>
    <row r="16" spans="1:31" s="36" customFormat="1" ht="18" customHeight="1" thickBot="1">
      <c r="A16" s="1"/>
      <c r="B16" s="3"/>
      <c r="C16" s="3"/>
      <c r="D16" s="3"/>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1:31" s="36" customFormat="1" ht="33" customHeight="1">
      <c r="A17" s="134" t="s">
        <v>72</v>
      </c>
      <c r="B17" s="134"/>
      <c r="C17" s="29"/>
      <c r="D17" s="30">
        <f>D1</f>
        <v>1995</v>
      </c>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row>
    <row r="18" spans="1:31" s="36" customFormat="1" ht="18" customHeight="1" thickBot="1">
      <c r="A18" s="100" t="s">
        <v>190</v>
      </c>
      <c r="B18" s="100"/>
      <c r="C18" s="100"/>
      <c r="D18" s="106">
        <f>+G18+H18+I18+J18+K18+L18+M18+N18+O18+P18+Q18+R18+S18+T18+U18+V18+W18+X18++Y18+Z18+AA18+AB18+AC18+AD18+AE18</f>
        <v>263940475.7611819</v>
      </c>
      <c r="G18" s="98">
        <f>'[20]8100'!$H$10</f>
        <v>0</v>
      </c>
      <c r="H18" s="98">
        <f>'[21]8100'!$H$10</f>
        <v>0</v>
      </c>
      <c r="I18" s="131">
        <f>'[22]8100'!$H$10</f>
        <v>0</v>
      </c>
      <c r="J18" s="131">
        <f>'[23]8100'!$H$10</f>
        <v>3005060.5219189115</v>
      </c>
      <c r="K18" s="131">
        <f>'[24]8100'!$H$10</f>
        <v>0</v>
      </c>
      <c r="L18" s="131">
        <f>'[25]8100'!$H$10</f>
        <v>0</v>
      </c>
      <c r="M18" s="98">
        <f>'[1]8200'!$H$10</f>
        <v>0</v>
      </c>
      <c r="N18" s="98">
        <f>'[2]8200'!$H$10</f>
        <v>136790354.95774886</v>
      </c>
      <c r="O18" s="98">
        <f>'[3]8200'!$H$10</f>
        <v>0</v>
      </c>
      <c r="P18" s="98">
        <f>'[4]8200'!$H$10</f>
        <v>0</v>
      </c>
      <c r="Q18" s="98">
        <f>'[5]8200'!$H$10</f>
        <v>0</v>
      </c>
      <c r="R18" s="98">
        <f>'[6]8200'!$H$10</f>
        <v>32809250.778310675</v>
      </c>
      <c r="S18" s="98">
        <f>'[7]8200'!$H$10</f>
        <v>0</v>
      </c>
      <c r="T18" s="98">
        <f>'[8]8200'!$H$10</f>
        <v>7704975.178200089</v>
      </c>
      <c r="U18" s="98">
        <f>'[9]8200'!$H$10</f>
        <v>0</v>
      </c>
      <c r="V18" s="98">
        <f>'[10]8200'!$H$10</f>
        <v>83630834.32500331</v>
      </c>
      <c r="W18" s="98">
        <f>'[11]8200'!$H$10</f>
        <v>0</v>
      </c>
      <c r="X18" s="98">
        <f>'[12]8200'!$H$10</f>
        <v>0</v>
      </c>
      <c r="Y18" s="98">
        <f>'[13]8200'!$H$10</f>
        <v>0</v>
      </c>
      <c r="Z18" s="98">
        <f>'[14]8200'!$H$10</f>
        <v>0</v>
      </c>
      <c r="AA18" s="98">
        <f>'[15]8200'!$H$10</f>
        <v>0</v>
      </c>
      <c r="AB18" s="98">
        <f>'[16]8200'!$H$10</f>
        <v>0</v>
      </c>
      <c r="AC18" s="98">
        <f>'[17]8200'!$H$10</f>
        <v>0</v>
      </c>
      <c r="AD18" s="98">
        <f>'[18]8200'!$H$10</f>
        <v>0</v>
      </c>
      <c r="AE18" s="98">
        <f>'[19]8290'!$H$10</f>
        <v>0</v>
      </c>
    </row>
    <row r="19" spans="1:30" ht="18" customHeight="1">
      <c r="A19" s="87"/>
      <c r="B19" s="87"/>
      <c r="C19" s="87"/>
      <c r="D19" s="87"/>
      <c r="G19" s="47"/>
      <c r="H19" s="47"/>
      <c r="I19" s="47"/>
      <c r="J19" s="47"/>
      <c r="K19" s="47"/>
      <c r="L19" s="47"/>
      <c r="M19" s="47"/>
      <c r="N19" s="47"/>
      <c r="O19" s="47"/>
      <c r="P19" s="47"/>
      <c r="Q19" s="47"/>
      <c r="R19" s="47"/>
      <c r="S19" s="98"/>
      <c r="T19" s="47"/>
      <c r="U19" s="47"/>
      <c r="V19" s="47"/>
      <c r="W19" s="47"/>
      <c r="X19" s="47"/>
      <c r="Y19" s="47"/>
      <c r="Z19" s="47"/>
      <c r="AA19" s="47"/>
      <c r="AB19" s="47"/>
      <c r="AC19" s="47"/>
      <c r="AD19" s="47"/>
    </row>
    <row r="20" spans="7:30" ht="18" customHeight="1">
      <c r="G20" s="47"/>
      <c r="H20" s="47"/>
      <c r="I20" s="47"/>
      <c r="J20" s="47"/>
      <c r="K20" s="47"/>
      <c r="L20" s="47"/>
      <c r="M20" s="47"/>
      <c r="N20" s="47"/>
      <c r="O20" s="47"/>
      <c r="P20" s="47"/>
      <c r="Q20" s="47"/>
      <c r="R20" s="47"/>
      <c r="S20" s="47"/>
      <c r="T20" s="47"/>
      <c r="U20" s="47"/>
      <c r="V20" s="47"/>
      <c r="W20" s="47"/>
      <c r="X20" s="47"/>
      <c r="Y20" s="47"/>
      <c r="Z20" s="47"/>
      <c r="AA20" s="47"/>
      <c r="AB20" s="47"/>
      <c r="AC20" s="47"/>
      <c r="AD20" s="47"/>
    </row>
    <row r="21" ht="15.75">
      <c r="A21" s="64" t="s">
        <v>191</v>
      </c>
    </row>
    <row r="22" spans="1:3" ht="15.75">
      <c r="A22" s="35"/>
      <c r="C22" s="35"/>
    </row>
  </sheetData>
  <mergeCells count="2">
    <mergeCell ref="A12:B12"/>
    <mergeCell ref="A17:B17"/>
  </mergeCells>
  <printOptions horizontalCentered="1"/>
  <pageMargins left="0.31496062992125984" right="0.31496062992125984" top="0.5905511811023623" bottom="0.5905511811023623" header="0" footer="0"/>
  <pageSetup fitToHeight="1" fitToWidth="1"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zoomScale="75" zoomScaleNormal="75" workbookViewId="0" topLeftCell="A1"/>
  </sheetViews>
  <sheetFormatPr defaultColWidth="11.421875" defaultRowHeight="12.75"/>
  <cols>
    <col min="1" max="1" width="72.421875" style="2" customWidth="1"/>
    <col min="2" max="2" width="12.8515625" style="2" customWidth="1"/>
    <col min="3" max="3" width="87.8515625" style="2" customWidth="1"/>
    <col min="4" max="4" width="9.7109375" style="2" customWidth="1"/>
    <col min="5" max="5" width="21.28125" style="2" customWidth="1"/>
    <col min="6" max="16384" width="11.421875" style="2" customWidth="1"/>
  </cols>
  <sheetData>
    <row r="1" spans="1:4" ht="60" customHeight="1">
      <c r="A1" s="8"/>
      <c r="B1" s="10"/>
      <c r="C1" s="10" t="str">
        <f>"EJERCICIO    "&amp;Balance!AF1</f>
        <v>EJERCICIO    1995</v>
      </c>
      <c r="D1" s="11"/>
    </row>
    <row r="2" spans="1:4" ht="12.95" customHeight="1" thickBot="1">
      <c r="A2" s="8"/>
      <c r="B2" s="9"/>
      <c r="C2" s="9"/>
      <c r="D2" s="11"/>
    </row>
    <row r="3" spans="1:4" ht="33" customHeight="1">
      <c r="A3" s="76" t="str">
        <f>"                                            "&amp;"SECTOR INSTRUMENTAL"</f>
        <v xml:space="preserve">                                            SECTOR INSTRUMENTAL</v>
      </c>
      <c r="B3" s="13"/>
      <c r="C3" s="13"/>
      <c r="D3" s="11"/>
    </row>
    <row r="4" spans="1:5" ht="19.5" customHeight="1">
      <c r="A4" s="17" t="str">
        <f>"AGREGADO"</f>
        <v>AGREGADO</v>
      </c>
      <c r="B4" s="79"/>
      <c r="C4" s="79"/>
      <c r="D4" s="11"/>
      <c r="E4" s="92"/>
    </row>
    <row r="5" spans="1:4" ht="18" customHeight="1" thickBot="1">
      <c r="A5" s="21"/>
      <c r="B5" s="49"/>
      <c r="C5" s="77"/>
      <c r="D5" s="11"/>
    </row>
    <row r="6" spans="1:5" ht="15" customHeight="1">
      <c r="A6" s="94"/>
      <c r="B6" s="95"/>
      <c r="C6" s="95"/>
      <c r="D6" s="95"/>
      <c r="E6" s="95"/>
    </row>
    <row r="7" spans="1:5" ht="20.25">
      <c r="A7" s="97" t="s">
        <v>65</v>
      </c>
      <c r="B7" s="36"/>
      <c r="C7" s="36"/>
      <c r="D7" s="36"/>
      <c r="E7" s="36"/>
    </row>
    <row r="8" ht="12.95" customHeight="1" thickBot="1"/>
    <row r="9" spans="1:3" ht="33" customHeight="1">
      <c r="A9" s="101" t="s">
        <v>66</v>
      </c>
      <c r="C9" s="101" t="s">
        <v>67</v>
      </c>
    </row>
    <row r="10" ht="12.95" customHeight="1"/>
    <row r="11" spans="1:3" ht="18" customHeight="1">
      <c r="A11" s="1" t="s">
        <v>0</v>
      </c>
      <c r="C11" s="102" t="s">
        <v>26</v>
      </c>
    </row>
    <row r="12" spans="1:3" ht="18" customHeight="1">
      <c r="A12" s="1" t="s">
        <v>1</v>
      </c>
      <c r="C12" s="1" t="s">
        <v>7</v>
      </c>
    </row>
    <row r="13" spans="1:3" ht="18" customHeight="1">
      <c r="A13" s="1" t="s">
        <v>2</v>
      </c>
      <c r="C13" s="1" t="s">
        <v>16</v>
      </c>
    </row>
    <row r="14" spans="1:3" ht="18" customHeight="1">
      <c r="A14" s="1" t="s">
        <v>3</v>
      </c>
      <c r="C14" s="1" t="s">
        <v>17</v>
      </c>
    </row>
    <row r="15" ht="18" customHeight="1">
      <c r="A15" s="1" t="s">
        <v>4</v>
      </c>
    </row>
    <row r="16" spans="1:3" ht="18" customHeight="1">
      <c r="A16" s="1" t="s">
        <v>5</v>
      </c>
      <c r="C16" s="1"/>
    </row>
    <row r="17" spans="1:3" ht="18" customHeight="1">
      <c r="A17" s="1" t="s">
        <v>6</v>
      </c>
      <c r="C17" s="1"/>
    </row>
    <row r="18" spans="1:3" ht="18" customHeight="1">
      <c r="A18" s="1" t="s">
        <v>8</v>
      </c>
      <c r="C18" s="1"/>
    </row>
    <row r="19" spans="1:3" ht="18" customHeight="1">
      <c r="A19" s="1" t="s">
        <v>9</v>
      </c>
      <c r="C19" s="1"/>
    </row>
    <row r="20" spans="1:3" ht="18" customHeight="1">
      <c r="A20" s="1" t="s">
        <v>10</v>
      </c>
      <c r="C20" s="1"/>
    </row>
    <row r="21" spans="1:3" ht="18" customHeight="1">
      <c r="A21" s="1" t="s">
        <v>11</v>
      </c>
      <c r="C21" s="1"/>
    </row>
    <row r="22" spans="1:3" ht="18" customHeight="1">
      <c r="A22" s="1" t="s">
        <v>12</v>
      </c>
      <c r="C22" s="1"/>
    </row>
    <row r="23" spans="1:3" ht="18" customHeight="1">
      <c r="A23" s="1" t="s">
        <v>13</v>
      </c>
      <c r="C23" s="1"/>
    </row>
    <row r="24" spans="1:3" ht="18" customHeight="1">
      <c r="A24" s="1" t="s">
        <v>14</v>
      </c>
      <c r="C24" s="1"/>
    </row>
    <row r="25" spans="1:5" ht="18" customHeight="1">
      <c r="A25" s="1" t="s">
        <v>96</v>
      </c>
      <c r="C25" s="5" t="s">
        <v>27</v>
      </c>
      <c r="E25" s="1"/>
    </row>
    <row r="26" spans="1:5" ht="18" customHeight="1">
      <c r="A26" s="1" t="s">
        <v>15</v>
      </c>
      <c r="C26" s="6" t="s">
        <v>198</v>
      </c>
      <c r="E26" s="1"/>
    </row>
    <row r="27" spans="1:5" ht="18" customHeight="1">
      <c r="A27" s="1" t="s">
        <v>212</v>
      </c>
      <c r="C27" s="7" t="s">
        <v>28</v>
      </c>
      <c r="E27" s="1"/>
    </row>
    <row r="28" spans="1:5" ht="18" customHeight="1">
      <c r="A28" s="1" t="s">
        <v>213</v>
      </c>
      <c r="E28" s="1"/>
    </row>
    <row r="29" ht="18" customHeight="1">
      <c r="A29" s="1" t="s">
        <v>210</v>
      </c>
    </row>
    <row r="30" ht="18" customHeight="1">
      <c r="A30" s="1" t="s">
        <v>196</v>
      </c>
    </row>
    <row r="31" ht="18" customHeight="1">
      <c r="A31" s="1" t="s">
        <v>197</v>
      </c>
    </row>
    <row r="32" spans="1:2" ht="18" customHeight="1">
      <c r="A32" s="1" t="s">
        <v>199</v>
      </c>
      <c r="B32" s="1"/>
    </row>
    <row r="33" spans="1:2" ht="18" customHeight="1">
      <c r="A33" s="1" t="s">
        <v>204</v>
      </c>
      <c r="B33" s="1"/>
    </row>
    <row r="34" spans="1:2" ht="18" customHeight="1">
      <c r="A34" s="1" t="s">
        <v>211</v>
      </c>
      <c r="B34" s="1"/>
    </row>
    <row r="35" spans="1:2" ht="18" customHeight="1">
      <c r="A35" s="1"/>
      <c r="B35" s="1"/>
    </row>
    <row r="36" spans="1:2" ht="18" customHeight="1">
      <c r="A36" s="1"/>
      <c r="B36" s="1"/>
    </row>
    <row r="37" spans="1:2" ht="18" customHeight="1">
      <c r="A37" s="1"/>
      <c r="B37" s="1"/>
    </row>
    <row r="38" spans="1:2" ht="18" customHeight="1">
      <c r="A38" s="1"/>
      <c r="B38" s="1"/>
    </row>
    <row r="39" spans="1:3" ht="18" customHeight="1">
      <c r="A39" s="1"/>
      <c r="B39" s="1"/>
      <c r="C39" s="1"/>
    </row>
    <row r="40" spans="1:3" ht="18" customHeight="1">
      <c r="A40" s="1"/>
      <c r="B40" s="1"/>
      <c r="C40" s="1"/>
    </row>
    <row r="41" spans="1:3" ht="18" customHeight="1">
      <c r="A41" s="1"/>
      <c r="B41" s="1"/>
      <c r="C41" s="1"/>
    </row>
    <row r="42" spans="1:3" ht="18" customHeight="1">
      <c r="A42" s="1"/>
      <c r="B42" s="1"/>
      <c r="C42" s="1"/>
    </row>
    <row r="43" spans="1:3" ht="18" customHeight="1">
      <c r="A43" s="1"/>
      <c r="B43" s="1"/>
      <c r="C43" s="1"/>
    </row>
    <row r="44" spans="1:3" ht="18" customHeight="1">
      <c r="A44" s="1"/>
      <c r="B44" s="1"/>
      <c r="C44" s="1"/>
    </row>
    <row r="45" spans="1:3" ht="18" customHeight="1">
      <c r="A45" s="1"/>
      <c r="B45" s="1"/>
      <c r="C45" s="1"/>
    </row>
    <row r="46" spans="1:3" ht="18" customHeight="1">
      <c r="A46" s="1"/>
      <c r="B46" s="1"/>
      <c r="C46" s="1"/>
    </row>
    <row r="47" spans="1:3" ht="18" customHeight="1">
      <c r="A47" s="1"/>
      <c r="B47" s="1"/>
      <c r="C47" s="1"/>
    </row>
    <row r="48" spans="1:3" ht="18" customHeight="1">
      <c r="A48" s="1"/>
      <c r="B48" s="1"/>
      <c r="C48" s="1"/>
    </row>
    <row r="49" spans="1:3" ht="18" customHeight="1">
      <c r="A49" s="1"/>
      <c r="B49" s="1"/>
      <c r="C49" s="1"/>
    </row>
    <row r="50" spans="1:3" ht="18" customHeight="1">
      <c r="A50" s="1"/>
      <c r="B50" s="1"/>
      <c r="C50" s="1"/>
    </row>
    <row r="51" spans="1:3" ht="18" customHeight="1">
      <c r="A51" s="1"/>
      <c r="B51" s="1"/>
      <c r="C51" s="1"/>
    </row>
    <row r="52" spans="1:3" ht="18" customHeight="1">
      <c r="A52" s="1"/>
      <c r="B52" s="1"/>
      <c r="C52" s="1"/>
    </row>
    <row r="53" spans="1:3" ht="18" customHeight="1">
      <c r="A53" s="1"/>
      <c r="B53" s="1"/>
      <c r="C53" s="1"/>
    </row>
    <row r="54" spans="1:3" ht="18" customHeight="1">
      <c r="A54" s="1"/>
      <c r="B54" s="1"/>
      <c r="C54" s="1"/>
    </row>
    <row r="55" spans="1:3" ht="18" customHeight="1">
      <c r="A55" s="1"/>
      <c r="B55" s="1"/>
      <c r="C55" s="1"/>
    </row>
    <row r="56" spans="1:3" ht="18" customHeight="1">
      <c r="A56" s="1"/>
      <c r="B56" s="1"/>
      <c r="C56" s="1"/>
    </row>
    <row r="57" spans="1:3" ht="18" customHeight="1">
      <c r="A57" s="1"/>
      <c r="B57" s="1"/>
      <c r="C57" s="1"/>
    </row>
    <row r="58" spans="1:3" ht="18" customHeight="1">
      <c r="A58" s="1"/>
      <c r="B58" s="1"/>
      <c r="C58" s="1"/>
    </row>
    <row r="59" spans="1:3" ht="18" customHeight="1">
      <c r="A59" s="1"/>
      <c r="B59" s="1"/>
      <c r="C59" s="1"/>
    </row>
    <row r="60" spans="2:3" ht="18" customHeight="1">
      <c r="B60" s="1"/>
      <c r="C60" s="1"/>
    </row>
    <row r="61" spans="2:3" ht="18" customHeight="1">
      <c r="B61" s="1"/>
      <c r="C61" s="1"/>
    </row>
    <row r="62" spans="1:3" ht="18" customHeight="1">
      <c r="A62" s="1"/>
      <c r="B62" s="1"/>
      <c r="C62" s="1"/>
    </row>
    <row r="63" spans="1:3" ht="18" customHeight="1">
      <c r="A63" s="1"/>
      <c r="C63" s="1"/>
    </row>
    <row r="64" spans="1:3" ht="18" customHeight="1">
      <c r="A64" s="1"/>
      <c r="C64" s="1"/>
    </row>
    <row r="65" spans="1:3" ht="18" customHeight="1">
      <c r="A65" s="1"/>
      <c r="C65" s="1"/>
    </row>
    <row r="66" spans="1:3" ht="18" customHeight="1">
      <c r="A66" s="1"/>
      <c r="C66" s="1"/>
    </row>
    <row r="67" spans="1:3" ht="18" customHeight="1">
      <c r="A67" s="1"/>
      <c r="C67" s="1"/>
    </row>
    <row r="68" spans="1:3" ht="18" customHeight="1">
      <c r="A68" s="1"/>
      <c r="C68" s="1"/>
    </row>
    <row r="69" spans="1:3" ht="18" customHeight="1">
      <c r="A69" s="1"/>
      <c r="C69" s="1"/>
    </row>
    <row r="70" spans="1:3" ht="18" customHeight="1">
      <c r="A70" s="1"/>
      <c r="C70" s="1"/>
    </row>
    <row r="71" spans="1:3" ht="18" customHeight="1">
      <c r="A71" s="1"/>
      <c r="C71" s="1"/>
    </row>
    <row r="72" spans="1:3" ht="18" customHeight="1">
      <c r="A72" s="1"/>
      <c r="C72" s="1"/>
    </row>
    <row r="73" spans="1:3" ht="18" customHeight="1">
      <c r="A73" s="1"/>
      <c r="C73" s="1"/>
    </row>
    <row r="74" spans="1:3" ht="18" customHeight="1">
      <c r="A74" s="1"/>
      <c r="C74" s="1"/>
    </row>
    <row r="75" spans="1:3" ht="18" customHeight="1">
      <c r="A75" s="1"/>
      <c r="C75" s="1"/>
    </row>
    <row r="76" spans="1:3" ht="18" customHeight="1">
      <c r="A76" s="1"/>
      <c r="C76" s="1"/>
    </row>
    <row r="77" spans="1:3" ht="18" customHeight="1">
      <c r="A77" s="1"/>
      <c r="C77" s="1"/>
    </row>
    <row r="78" spans="1:3" ht="18" customHeight="1">
      <c r="A78" s="1"/>
      <c r="C78" s="1"/>
    </row>
    <row r="79" ht="18" customHeight="1">
      <c r="C79" s="1"/>
    </row>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c r="B93" s="3"/>
    </row>
    <row r="94" ht="18" customHeight="1">
      <c r="B94" s="3"/>
    </row>
    <row r="95" ht="12.75">
      <c r="B95" s="3"/>
    </row>
    <row r="96" ht="12.75">
      <c r="B96" s="3"/>
    </row>
    <row r="101" ht="12.75">
      <c r="C101" s="3"/>
    </row>
    <row r="102" ht="12.75">
      <c r="C102" s="3"/>
    </row>
    <row r="103" ht="12.75">
      <c r="C103" s="3"/>
    </row>
    <row r="104" ht="12.75">
      <c r="C104" s="3"/>
    </row>
  </sheetData>
  <printOptions horizontalCentered="1"/>
  <pageMargins left="0.31496062992125984" right="0.31496062992125984" top="0.5905511811023623" bottom="0.5905511811023623" header="0" footer="0"/>
  <pageSetup fitToHeight="2" fitToWidth="1" horizontalDpi="600" verticalDpi="600" orientation="portrait" paperSize="9" scale="5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3"/>
  <sheetViews>
    <sheetView zoomScale="75" zoomScaleNormal="75" workbookViewId="0" topLeftCell="A1"/>
  </sheetViews>
  <sheetFormatPr defaultColWidth="11.421875" defaultRowHeight="12.75"/>
  <cols>
    <col min="1" max="1" width="68.421875" style="2" customWidth="1"/>
    <col min="2" max="2" width="7.7109375" style="2" customWidth="1"/>
    <col min="3" max="3" width="56.8515625" style="2" customWidth="1"/>
    <col min="4" max="4" width="9.7109375" style="2" customWidth="1"/>
    <col min="5" max="5" width="21.28125" style="2" customWidth="1"/>
    <col min="6" max="16384" width="11.421875" style="2" customWidth="1"/>
  </cols>
  <sheetData>
    <row r="1" spans="1:4" ht="60" customHeight="1">
      <c r="A1" s="8"/>
      <c r="B1" s="10"/>
      <c r="C1" s="10" t="str">
        <f>"EJERCICIO    "&amp;Balance!AF1</f>
        <v>EJERCICIO    1995</v>
      </c>
      <c r="D1" s="11"/>
    </row>
    <row r="2" spans="1:4" ht="12.95" customHeight="1" thickBot="1">
      <c r="A2" s="8"/>
      <c r="B2" s="9"/>
      <c r="C2" s="9"/>
      <c r="D2" s="11"/>
    </row>
    <row r="3" spans="1:4" ht="33" customHeight="1">
      <c r="A3" s="76" t="str">
        <f>"                                            "&amp;"SECTOR INSTRUMENTAL"</f>
        <v xml:space="preserve">                                            SECTOR INSTRUMENTAL</v>
      </c>
      <c r="B3" s="13"/>
      <c r="C3" s="13"/>
      <c r="D3" s="11"/>
    </row>
    <row r="4" spans="1:5" ht="19.5" customHeight="1">
      <c r="A4" s="17" t="str">
        <f>"AGREGADO"</f>
        <v>AGREGADO</v>
      </c>
      <c r="B4" s="79"/>
      <c r="C4" s="79"/>
      <c r="D4" s="11"/>
      <c r="E4" s="92"/>
    </row>
    <row r="5" spans="1:4" ht="18" customHeight="1" thickBot="1">
      <c r="A5" s="21"/>
      <c r="B5" s="49"/>
      <c r="C5" s="77"/>
      <c r="D5" s="11"/>
    </row>
    <row r="6" spans="1:5" ht="15" customHeight="1">
      <c r="A6" s="94"/>
      <c r="B6" s="95"/>
      <c r="C6" s="95"/>
      <c r="D6" s="95"/>
      <c r="E6" s="95"/>
    </row>
    <row r="7" spans="1:5" ht="20.25">
      <c r="A7" s="97" t="s">
        <v>76</v>
      </c>
      <c r="B7" s="36"/>
      <c r="C7" s="36"/>
      <c r="D7" s="36"/>
      <c r="E7" s="36"/>
    </row>
    <row r="8" ht="12.95" customHeight="1" thickBot="1"/>
    <row r="9" spans="1:3" ht="33" customHeight="1">
      <c r="A9" s="101" t="s">
        <v>95</v>
      </c>
      <c r="C9" s="101" t="s">
        <v>75</v>
      </c>
    </row>
    <row r="10" ht="12.95" customHeight="1"/>
    <row r="11" spans="1:3" ht="18" customHeight="1">
      <c r="A11" s="1" t="s">
        <v>205</v>
      </c>
      <c r="C11" s="1"/>
    </row>
    <row r="12" spans="1:3" ht="18" customHeight="1">
      <c r="A12" s="1"/>
      <c r="C12" s="1"/>
    </row>
    <row r="13" spans="1:3" ht="18" customHeight="1">
      <c r="A13" s="1"/>
      <c r="C13" s="1"/>
    </row>
    <row r="14" ht="18" customHeight="1">
      <c r="C14" s="1"/>
    </row>
    <row r="15" ht="18" customHeight="1">
      <c r="C15" s="1"/>
    </row>
    <row r="16" ht="18" customHeight="1">
      <c r="C16" s="1"/>
    </row>
    <row r="17" ht="18" customHeight="1">
      <c r="C17" s="1"/>
    </row>
    <row r="18" ht="18" customHeight="1">
      <c r="C18" s="1"/>
    </row>
    <row r="19" spans="1:3" ht="18" customHeight="1">
      <c r="A19" s="1"/>
      <c r="C19" s="1"/>
    </row>
    <row r="20" spans="1:3" ht="18" customHeight="1">
      <c r="A20" s="1"/>
      <c r="C20" s="1"/>
    </row>
    <row r="21" spans="1:3" ht="18" customHeight="1">
      <c r="A21" s="1"/>
      <c r="C21" s="1"/>
    </row>
    <row r="22" spans="1:3" ht="18" customHeight="1">
      <c r="A22" s="1"/>
      <c r="C22" s="1"/>
    </row>
    <row r="23" ht="18" customHeight="1">
      <c r="A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c r="C28" s="1"/>
    </row>
    <row r="29" spans="1:3" ht="18" customHeight="1">
      <c r="A29" s="1"/>
      <c r="C29" s="1"/>
    </row>
    <row r="30" spans="1:3" ht="18" customHeight="1">
      <c r="A30" s="1"/>
      <c r="C30" s="1"/>
    </row>
    <row r="31" spans="1:3" ht="18" customHeight="1">
      <c r="A31" s="1"/>
      <c r="C31" s="1"/>
    </row>
    <row r="32" spans="1:3" ht="18" customHeight="1">
      <c r="A32" s="1"/>
      <c r="C32" s="1"/>
    </row>
    <row r="33" spans="1:3" ht="18" customHeight="1">
      <c r="A33" s="1"/>
      <c r="C33" s="1"/>
    </row>
    <row r="34" spans="1:3" ht="18" customHeight="1">
      <c r="A34" s="1"/>
      <c r="C34" s="1"/>
    </row>
    <row r="35" spans="1:3" ht="18" customHeight="1">
      <c r="A35" s="1"/>
      <c r="C35" s="1"/>
    </row>
    <row r="36" spans="1:3" ht="18" customHeight="1">
      <c r="A36" s="1"/>
      <c r="C36" s="1"/>
    </row>
    <row r="37" spans="1:3" ht="18" customHeight="1">
      <c r="A37" s="1"/>
      <c r="C37" s="1"/>
    </row>
    <row r="38" spans="1:3" ht="18" customHeight="1">
      <c r="A38" s="1"/>
      <c r="C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8" ht="12.75">
      <c r="B108" s="3"/>
    </row>
    <row r="109" ht="12.75">
      <c r="B109" s="3"/>
    </row>
    <row r="110" spans="2:3" ht="12.75">
      <c r="B110" s="3"/>
      <c r="C110" s="3"/>
    </row>
    <row r="111" spans="2:3" ht="12.75">
      <c r="B111" s="3"/>
      <c r="C111" s="3"/>
    </row>
    <row r="112" ht="12.75">
      <c r="C112" s="3"/>
    </row>
    <row r="113" ht="12.75">
      <c r="C113" s="3"/>
    </row>
  </sheetData>
  <printOptions horizontalCentered="1"/>
  <pageMargins left="0.31496062992125984" right="0.31496062992125984" top="0.5905511811023623" bottom="0.5905511811023623" header="0" footer="0"/>
  <pageSetup fitToHeight="2"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jamartinez</cp:lastModifiedBy>
  <cp:lastPrinted>2018-06-18T09:29:54Z</cp:lastPrinted>
  <dcterms:created xsi:type="dcterms:W3CDTF">2010-12-21T11:30:58Z</dcterms:created>
  <dcterms:modified xsi:type="dcterms:W3CDTF">2018-06-18T09:30:01Z</dcterms:modified>
  <cp:category/>
  <cp:version/>
  <cp:contentType/>
  <cp:contentStatus/>
</cp:coreProperties>
</file>