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840" yWindow="360" windowWidth="13875" windowHeight="7965" tabRatio="887" activeTab="3"/>
  </bookViews>
  <sheets>
    <sheet name="Información" sheetId="8" r:id="rId1"/>
    <sheet name="Balance" sheetId="6" r:id="rId2"/>
    <sheet name="Cuenta" sheetId="7" r:id="rId3"/>
    <sheet name="Liquidación del presupuesto" sheetId="10" r:id="rId4"/>
    <sheet name="Acerno_Cache_XXXXX" sheetId="11" state="veryHidden" r:id="rId5"/>
    <sheet name="Memoria" sheetId="9" r:id="rId6"/>
    <sheet name="Entidades agregadas" sheetId="5" r:id="rId7"/>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xlnm.Print_Area" localSheetId="1">'Balance'!$A$1:$L$66</definedName>
    <definedName name="_xlnm.Print_Area" localSheetId="2">'Cuenta'!$A$1:$L$89</definedName>
    <definedName name="_xlnm.Print_Area" localSheetId="6">'Entidades agregadas'!$A$1:$B$19</definedName>
    <definedName name="_xlnm.Print_Area" localSheetId="0">'Información'!$A$1:$B$55</definedName>
    <definedName name="_xlnm.Print_Area" localSheetId="3">'Liquidación del presupuesto'!$A$1:$M$85</definedName>
    <definedName name="_xlnm.Print_Area" localSheetId="5">'Memoria'!$A$1:$I$86</definedName>
    <definedName name="tm_1006633539">#REF!</definedName>
    <definedName name="tm_603982494">#REF!</definedName>
    <definedName name="tm_671088875">#REF!</definedName>
    <definedName name="tm_805306395">#REF!</definedName>
    <definedName name="tm_805306397">#REF!</definedName>
    <definedName name="_xlnm.Print_Titles" localSheetId="6">'Entidades agregadas'!$1:$13</definedName>
  </definedNames>
  <calcPr calcId="152511"/>
</workbook>
</file>

<file path=xl/sharedStrings.xml><?xml version="1.0" encoding="utf-8"?>
<sst xmlns="http://schemas.openxmlformats.org/spreadsheetml/2006/main" count="884" uniqueCount="495">
  <si>
    <t>Universitat de València</t>
  </si>
  <si>
    <t>Universidad Politécnica de Valencia</t>
  </si>
  <si>
    <t>Universidad de Alicante</t>
  </si>
  <si>
    <t>Universitat Jaume I</t>
  </si>
  <si>
    <t>Universidad Miguel Hernández</t>
  </si>
  <si>
    <t>B) GASTOS A DISTRIBUIR EN VARIOS EJERCICIOS</t>
  </si>
  <si>
    <t>B) INGRESOS A DISTRIBUIR EN VARIOS EJERCICIOS</t>
  </si>
  <si>
    <t>C) PROVISIONES PARA RIESGOS Y GASTOS</t>
  </si>
  <si>
    <t xml:space="preserve">   4. Deudas en moneda extranjera</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</si>
  <si>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</si>
  <si>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</si>
  <si>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</si>
  <si>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</si>
  <si>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</si>
  <si>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</si>
  <si>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</si>
  <si>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</si>
  <si>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</si>
  <si>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</si>
  <si>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</si>
  <si>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</si>
  <si>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</si>
  <si>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</si>
  <si>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</si>
  <si>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</si>
  <si>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</si>
  <si>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</si>
  <si>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</si>
  <si>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</si>
  <si>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</si>
  <si>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</si>
  <si>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</si>
  <si>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</si>
  <si>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</si>
  <si>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</si>
  <si>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</si>
  <si>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</si>
  <si>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</si>
  <si>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</si>
  <si>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</si>
  <si>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</si>
  <si>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</si>
  <si>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</si>
  <si>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</si>
  <si>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</si>
  <si>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</si>
  <si>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</si>
  <si>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</si>
  <si>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</si>
  <si>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</si>
  <si>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</si>
  <si>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</si>
  <si>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</si>
  <si>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</si>
  <si>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</si>
  <si>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</si>
  <si>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</si>
  <si>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</si>
  <si>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</si>
  <si>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</si>
  <si>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</si>
  <si>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</si>
  <si>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</si>
  <si>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</si>
  <si>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</si>
  <si>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</si>
  <si>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</si>
  <si>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</si>
  <si>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</si>
  <si>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</si>
  <si>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</si>
  <si>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</si>
  <si>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</si>
  <si>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</si>
  <si>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</si>
  <si>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</si>
  <si>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</si>
  <si>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</si>
  <si>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</si>
  <si>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</si>
  <si>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</si>
  <si>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</si>
  <si>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</si>
  <si>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</si>
  <si>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</si>
  <si>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</si>
  <si>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</si>
  <si>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</si>
  <si>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</si>
  <si>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</si>
  <si>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</si>
  <si>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</si>
  <si>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</si>
  <si>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</si>
  <si>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</si>
  <si>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</si>
  <si>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</si>
  <si>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</si>
  <si>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</si>
  <si>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</si>
  <si>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</si>
  <si>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</si>
  <si>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</si>
  <si>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</si>
  <si>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</si>
  <si>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</si>
  <si>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</si>
  <si>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</si>
  <si>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</si>
  <si>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</si>
  <si>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</si>
  <si>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</si>
  <si>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</si>
  <si>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</si>
  <si>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</si>
  <si>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</si>
  <si>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</si>
  <si>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</si>
  <si>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</si>
  <si>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</si>
  <si>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</si>
  <si>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</si>
  <si>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</si>
  <si>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</si>
  <si>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</si>
  <si>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</si>
  <si>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</si>
  <si>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</si>
  <si>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</si>
  <si>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</si>
  <si>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</si>
  <si>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</si>
  <si>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</si>
  <si>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</si>
  <si>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</si>
  <si>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</si>
  <si>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</si>
  <si>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</si>
  <si>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</si>
  <si>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</si>
  <si>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</si>
  <si>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</si>
  <si>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</si>
  <si>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</si>
  <si>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</si>
  <si>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</si>
  <si>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</si>
  <si>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</si>
  <si>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</si>
  <si>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</si>
  <si>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</si>
  <si>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</si>
  <si>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</si>
  <si>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</si>
  <si>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</si>
  <si>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</si>
  <si>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</si>
  <si>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</si>
  <si>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</si>
  <si>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</si>
  <si>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</si>
  <si>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</si>
  <si>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</si>
  <si>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</si>
  <si>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</si>
  <si>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</si>
  <si>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</si>
  <si>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</si>
  <si>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</si>
  <si>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</si>
  <si>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</si>
  <si>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</si>
  <si>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</si>
  <si>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</si>
  <si>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</si>
  <si>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</si>
  <si>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</si>
  <si>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</si>
  <si>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</si>
  <si>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</si>
  <si>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</si>
  <si>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</si>
  <si>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</si>
  <si>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</si>
  <si>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</si>
  <si>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</si>
  <si>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</si>
  <si>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</si>
  <si>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</si>
  <si>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</si>
  <si>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</si>
  <si>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</si>
  <si>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</si>
  <si>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</si>
  <si>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</si>
  <si>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</si>
  <si>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</si>
  <si>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</si>
  <si>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</si>
  <si>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</si>
  <si>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</si>
  <si>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</si>
  <si>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</si>
  <si>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</si>
  <si>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</si>
  <si>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</si>
  <si>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</si>
  <si>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</si>
  <si>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</si>
  <si>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</si>
  <si>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</si>
  <si>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</si>
  <si>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</si>
  <si>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</si>
  <si>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</si>
  <si>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</si>
  <si>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</si>
  <si>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</si>
  <si>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</si>
  <si>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</si>
  <si>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</si>
  <si>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</si>
  <si>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</si>
  <si>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</si>
  <si>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</si>
  <si>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</si>
  <si>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</si>
  <si>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</si>
  <si>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</si>
  <si>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</si>
  <si>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</si>
  <si>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</si>
  <si>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</si>
  <si>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</si>
  <si>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</si>
  <si>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</si>
  <si>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</si>
  <si>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</si>
  <si>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</si>
  <si>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</si>
  <si>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</si>
  <si>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</si>
  <si>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</si>
  <si>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</si>
  <si>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</si>
  <si>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</si>
  <si>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</si>
  <si>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</si>
  <si>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</si>
  <si>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</si>
  <si>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</si>
  <si>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</si>
  <si>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</si>
  <si>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</si>
  <si>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</si>
  <si>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</si>
  <si>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</si>
  <si>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</si>
  <si>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</si>
  <si>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</si>
  <si>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</si>
  <si>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</si>
  <si>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</si>
  <si>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</si>
  <si>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</si>
  <si>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</si>
  <si>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</si>
  <si>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</si>
  <si>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</si>
  <si>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</si>
  <si>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</si>
  <si>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</si>
  <si>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</si>
  <si>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</si>
  <si>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</si>
  <si>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</si>
  <si>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</si>
  <si>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</si>
  <si>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</si>
  <si>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</si>
  <si>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</si>
  <si>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</si>
  <si>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</si>
  <si>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</si>
  <si>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</si>
  <si>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</si>
  <si>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</si>
  <si>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</si>
  <si>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</si>
  <si>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</si>
  <si>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</si>
  <si>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</si>
  <si>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</si>
  <si>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</si>
  <si>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</si>
  <si>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</si>
  <si>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</si>
  <si>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</si>
  <si>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</si>
  <si>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</si>
  <si>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</si>
  <si>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</si>
  <si>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</si>
  <si>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</si>
  <si>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</si>
  <si>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</si>
  <si>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</si>
  <si>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</si>
  <si>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</si>
  <si>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</si>
  <si>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</si>
  <si>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</si>
  <si>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</si>
  <si>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</si>
  <si>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</si>
  <si>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</si>
  <si>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</si>
  <si>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</si>
  <si>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</si>
  <si>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</si>
  <si>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</si>
  <si>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</si>
  <si>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</si>
  <si>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</si>
  <si>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</si>
  <si>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</si>
  <si>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</si>
  <si>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</si>
  <si>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</si>
  <si>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</si>
  <si>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</si>
  <si>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</si>
  <si>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</si>
  <si>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</si>
  <si>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</si>
  <si>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</si>
  <si>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</si>
  <si>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</si>
  <si>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</si>
  <si>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</si>
  <si>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</si>
  <si>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</si>
  <si>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</si>
  <si>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</si>
  <si>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</si>
  <si>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</si>
  <si>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</si>
  <si>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</si>
  <si>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</si>
  <si>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</si>
  <si>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</si>
  <si>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</si>
  <si>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</si>
  <si>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</si>
  <si>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</si>
  <si>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</si>
  <si>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</si>
  <si>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</si>
  <si>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</si>
  <si>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</si>
  <si>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</si>
  <si>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</si>
  <si>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</si>
  <si>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</si>
  <si>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</si>
  <si>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</si>
  <si>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</si>
  <si>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</si>
  <si>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</si>
  <si>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</si>
  <si>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</si>
  <si>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</si>
  <si>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</si>
  <si>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</si>
  <si>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</si>
  <si>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</si>
  <si>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</si>
  <si>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</si>
  <si>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</si>
  <si>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</si>
  <si>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</si>
  <si>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</si>
  <si>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</si>
  <si>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</si>
  <si>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</si>
  <si>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</si>
  <si>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</si>
  <si>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</si>
  <si>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</si>
  <si>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</si>
  <si>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</si>
  <si>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</si>
  <si>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</si>
  <si>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</si>
  <si>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</si>
  <si>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</si>
  <si>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</si>
  <si>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</si>
  <si>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</si>
  <si>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</si>
  <si>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</si>
  <si>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</si>
  <si>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</si>
  <si>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</si>
  <si>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</si>
  <si>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</si>
  <si>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</si>
  <si>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</si>
  <si>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</si>
  <si>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</si>
  <si>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</si>
  <si>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</si>
  <si>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</si>
  <si>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</si>
  <si>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</si>
  <si>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</si>
  <si>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</si>
  <si>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Instrumental</t>
  </si>
  <si>
    <t>Universidades</t>
  </si>
  <si>
    <t>PRESUPUESTOS CERRADOS AGREGADOS</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</si>
  <si>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</si>
  <si>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</si>
  <si>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</si>
  <si>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</si>
  <si>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</si>
  <si>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</si>
  <si>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</si>
  <si>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</si>
  <si>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</si>
  <si>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</si>
  <si>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</si>
  <si>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</si>
  <si>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</si>
  <si>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</si>
  <si>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</si>
  <si>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</si>
  <si>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</si>
  <si>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</si>
  <si>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</si>
  <si>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</si>
  <si>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</si>
  <si>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</si>
  <si>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</si>
  <si>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</si>
  <si>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</si>
  <si>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</si>
  <si>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</si>
  <si>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</si>
  <si>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</si>
  <si>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</si>
  <si>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</si>
  <si>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</si>
  <si>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</si>
  <si>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</si>
  <si>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</si>
  <si>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</si>
  <si>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</si>
  <si>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</si>
  <si>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</si>
  <si>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</si>
  <si>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</si>
  <si>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</si>
  <si>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</si>
  <si>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</si>
  <si>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(a) Incluye en el denominador la totalidad de los gastos (A.2+16+19+20) y en el numerador el epígrafe III acreedores del pasivo del balance.</t>
  </si>
  <si>
    <t>(b) Incluye en el denominador: los gastos (8+9+10+11+13) y en el numerador: Los epígrafes III y IV de E) Acreedores a corto plazo del pasivo.</t>
  </si>
  <si>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</si>
  <si>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</si>
  <si>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</si>
  <si>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</si>
  <si>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</si>
  <si>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</si>
  <si>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</si>
  <si>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</si>
  <si>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</si>
  <si>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</si>
  <si>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</si>
  <si>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</si>
  <si>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</si>
  <si>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</si>
  <si>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</si>
  <si>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</si>
  <si>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</si>
  <si>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</si>
  <si>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X110</t>
  </si>
  <si>
    <t>DE LA CUENTA DE DEL RDO. ECONÓMICO PATRIMONIAL</t>
  </si>
  <si>
    <t>Avales prestados por la Generalitat a las Universidades</t>
  </si>
  <si>
    <t>Avales prestados por el Instituto Valenciano de Finanzas (IVF) a las Universidades</t>
  </si>
  <si>
    <t>Avales prestados indirectamente por la Generalitat, al conceder el IVF operaciones de crédito a las Universidades</t>
  </si>
  <si>
    <t>Los estados presentados no son consolidados entre todas las universidades, ni contienen a sus entidades dependientes. En consecuencia, en ellos, no han sido eliminadas las operaciones entre todas ellas. En la Comunitat Valenciana no existe una norma que obligue a la consolidación de las universidades públicas. La relación de entidades agregadas figura en la hoja del libro "Entidades agregadas". Algunas de las hojas del libro que presentan estados, incluyen la información individual de cada entidad, en columnas ocultas que pueden visualizarse.</t>
  </si>
  <si>
    <t xml:space="preserve">PERIODOS MEDIOS DE PAGO </t>
  </si>
  <si>
    <r>
      <t xml:space="preserve">Periodo medio de pago del ejercicio (Criterios del Real Decreto 635/2014) </t>
    </r>
    <r>
      <rPr>
        <b/>
        <sz val="12"/>
        <rFont val="Times New Roman"/>
        <family val="1"/>
      </rPr>
      <t>(a)</t>
    </r>
  </si>
  <si>
    <r>
      <t xml:space="preserve">Periodo medio de pago de los últimos doce meses (Criterios de la Ley 3/2004) </t>
    </r>
    <r>
      <rPr>
        <b/>
        <sz val="12"/>
        <rFont val="Times New Roman"/>
        <family val="1"/>
      </rPr>
      <t>(b)</t>
    </r>
  </si>
  <si>
    <t xml:space="preserve"> VI. Deudores presupuestarios a largo plazo</t>
  </si>
  <si>
    <t xml:space="preserve">    o) Ingresos tributarios por precios públicos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</si>
</sst>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quot;€&quot;"/>
    <numFmt numFmtId="165" formatCode="#,##0.00\ &quot;€&quot;"/>
    <numFmt numFmtId="166" formatCode="#,##0.0"/>
    <numFmt numFmtId="167" formatCode="0.0%"/>
    <numFmt numFmtId="168" formatCode="#,##0_);\(#,##0\)"/>
    <numFmt numFmtId="169" formatCode="0_)"/>
    <numFmt numFmtId="170" formatCode="0.0"/>
    <numFmt numFmtId="171" formatCode="#,##0\ &quot;empleados&quot;"/>
    <numFmt numFmtId="172" formatCode="#,##0.0%"/>
    <numFmt numFmtId="173" formatCode="#,##0\ &quot;días&quot;"/>
  </numFmts>
  <fonts count="18">
    <font>
      <sz val="10"/>
      <name val="Arial"/>
      <family val="2"/>
    </font>
    <font>
      <sz val="8"/>
      <name val="Arial"/>
      <family val="2"/>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3"/>
    </font>
    <font>
      <sz val="12"/>
      <name val="CG Times (E1)"/>
      <family val="2"/>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2"/>
    </font>
    <font>
      <sz val="10"/>
      <color indexed="12"/>
      <name val="Times New Roman"/>
      <family val="1"/>
    </font>
    <font>
      <sz val="10"/>
      <color indexed="48"/>
      <name val="Times New Roman"/>
      <family val="1"/>
    </font>
  </fonts>
  <fills count="6">
    <fill>
      <patternFill/>
    </fill>
    <fill>
      <patternFill patternType="gray125"/>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36">
    <border>
      <left/>
      <right/>
      <top/>
      <bottom/>
      <diagonal/>
    </border>
    <border>
      <left/>
      <right/>
      <top style="medium"/>
      <bottom/>
    </border>
    <border>
      <left/>
      <right/>
      <top/>
      <bottom style="medium"/>
    </border>
    <border>
      <left/>
      <right/>
      <top style="hair">
        <color indexed="35"/>
      </top>
      <bottom style="hair">
        <color indexed="35"/>
      </bottom>
    </border>
    <border>
      <left/>
      <right/>
      <top style="hair">
        <color indexed="35"/>
      </top>
      <bottom style="medium"/>
    </border>
    <border>
      <left/>
      <right/>
      <top/>
      <bottom style="thin"/>
    </border>
    <border>
      <left/>
      <right/>
      <top/>
      <bottom style="hair">
        <color indexed="35"/>
      </bottom>
    </border>
    <border>
      <left/>
      <right/>
      <top style="hair">
        <color indexed="35"/>
      </top>
      <bottom/>
    </border>
    <border>
      <left style="medium"/>
      <right style="thin"/>
      <top style="medium"/>
      <bottom/>
    </border>
    <border>
      <left style="thin"/>
      <right style="thin"/>
      <top style="medium"/>
      <bottom/>
    </border>
    <border>
      <left style="thin"/>
      <right style="medium"/>
      <top style="medium"/>
      <bottom/>
    </border>
    <border>
      <left style="medium"/>
      <right style="thin"/>
      <top/>
      <bottom/>
    </border>
    <border>
      <left style="thin"/>
      <right style="thin"/>
      <top style="thin"/>
      <bottom style="thin"/>
    </border>
    <border>
      <left style="thin"/>
      <right style="thin"/>
      <top/>
      <bottom style="thin"/>
    </border>
    <border>
      <left style="thin"/>
      <right style="medium"/>
      <top/>
      <bottom style="thin"/>
    </border>
    <border>
      <left style="medium"/>
      <right style="thin"/>
      <top/>
      <bottom style="thin"/>
    </border>
    <border>
      <left style="medium"/>
      <right style="thin"/>
      <top style="thin"/>
      <bottom/>
    </border>
    <border>
      <left style="medium"/>
      <right style="thin"/>
      <top/>
      <bottom style="medium"/>
    </border>
    <border>
      <left style="thin"/>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medium"/>
      <right style="thin"/>
      <top style="medium"/>
      <bottom style="thin"/>
    </border>
    <border>
      <left style="medium"/>
      <right/>
      <top style="thin"/>
      <bottom/>
    </border>
    <border>
      <left style="medium"/>
      <right/>
      <top/>
      <bottom/>
    </border>
    <border>
      <left style="medium"/>
      <right/>
      <top/>
      <bottom style="medium"/>
    </border>
    <border>
      <left style="thin"/>
      <right style="thin"/>
      <top style="thin"/>
      <bottom/>
    </border>
    <border>
      <left style="thin"/>
      <right style="thin"/>
      <top/>
      <bottom/>
    </border>
    <border>
      <left/>
      <right/>
      <top style="thin"/>
      <bottom style="thin"/>
    </border>
    <border>
      <left/>
      <right/>
      <top style="thin"/>
      <bottom style="medium"/>
    </border>
    <border>
      <left style="thin"/>
      <right/>
      <top/>
      <bottom style="hair">
        <color indexed="35"/>
      </bottom>
    </border>
    <border>
      <left/>
      <right style="thin"/>
      <top/>
      <bottom style="hair">
        <color indexed="35"/>
      </bottom>
    </border>
    <border>
      <left/>
      <right/>
      <top style="medium"/>
      <bottom style="hair">
        <color indexed="35"/>
      </bottom>
    </border>
    <border>
      <left/>
      <right style="thin"/>
      <top style="medium"/>
      <bottom/>
    </border>
    <border>
      <left/>
      <right style="thin"/>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 fillId="0" borderId="0">
      <alignment/>
      <protection/>
    </xf>
    <xf numFmtId="0" fontId="0" fillId="0" borderId="0">
      <alignment/>
      <protection/>
    </xf>
    <xf numFmtId="168" fontId="8" fillId="0" borderId="0">
      <alignment/>
      <protection/>
    </xf>
    <xf numFmtId="168" fontId="8" fillId="0" borderId="0">
      <alignment/>
      <protection/>
    </xf>
    <xf numFmtId="37" fontId="8" fillId="0" borderId="0">
      <alignment/>
      <protection/>
    </xf>
  </cellStyleXfs>
  <cellXfs count="250">
    <xf numFmtId="0" fontId="0" fillId="0" borderId="0" xfId="0"/>
    <xf numFmtId="0" fontId="4" fillId="2" borderId="0" xfId="0" applyFont="1" applyFill="1" applyBorder="1" applyAlignment="1">
      <alignment horizontal="left"/>
    </xf>
    <xf numFmtId="0" fontId="0" fillId="2" borderId="0" xfId="0" applyFill="1"/>
    <xf numFmtId="0" fontId="3" fillId="2" borderId="0" xfId="0" applyFont="1" applyFill="1"/>
    <xf numFmtId="0" fontId="6" fillId="2" borderId="0" xfId="0" applyFont="1" applyFill="1" applyBorder="1" applyAlignment="1">
      <alignment horizontal="left"/>
    </xf>
    <xf numFmtId="168" fontId="9" fillId="2" borderId="0" xfId="22" applyFont="1" applyFill="1" applyAlignment="1" applyProtection="1">
      <alignment horizontal="left"/>
      <protection/>
    </xf>
    <xf numFmtId="168" fontId="9" fillId="2" borderId="0" xfId="22" applyFont="1" applyFill="1" applyProtection="1">
      <alignment/>
      <protection/>
    </xf>
    <xf numFmtId="168" fontId="9" fillId="2" borderId="0" xfId="22" applyFont="1" applyFill="1" applyAlignment="1" applyProtection="1">
      <alignment horizontal="right"/>
      <protection/>
    </xf>
    <xf numFmtId="1" fontId="9" fillId="2" borderId="0" xfId="22" applyNumberFormat="1" applyFont="1" applyFill="1" applyAlignment="1" applyProtection="1">
      <alignment horizontal="right"/>
      <protection/>
    </xf>
    <xf numFmtId="168" fontId="10" fillId="2" borderId="0" xfId="22" applyFont="1" applyFill="1" applyProtection="1">
      <alignment/>
      <protection/>
    </xf>
    <xf numFmtId="168" fontId="9" fillId="2" borderId="1" xfId="22" applyFont="1" applyFill="1" applyBorder="1" applyProtection="1">
      <alignment/>
      <protection/>
    </xf>
    <xf numFmtId="168" fontId="10" fillId="2" borderId="1" xfId="22" applyFont="1" applyFill="1" applyBorder="1" applyProtection="1">
      <alignment/>
      <protection/>
    </xf>
    <xf numFmtId="168" fontId="4" fillId="2" borderId="1" xfId="22" applyFont="1" applyFill="1" applyBorder="1" applyAlignment="1" applyProtection="1">
      <alignment horizontal="right"/>
      <protection/>
    </xf>
    <xf numFmtId="4" fontId="3" fillId="2" borderId="1" xfId="0" applyNumberFormat="1" applyFont="1" applyFill="1" applyBorder="1"/>
    <xf numFmtId="168" fontId="10" fillId="2" borderId="0" xfId="22" applyFont="1" applyFill="1" applyBorder="1" applyProtection="1">
      <alignment/>
      <protection/>
    </xf>
    <xf numFmtId="168" fontId="9" fillId="2" borderId="0" xfId="22" applyFont="1" applyFill="1" applyBorder="1" applyProtection="1">
      <alignment/>
      <protection/>
    </xf>
    <xf numFmtId="168" fontId="4" fillId="2" borderId="0" xfId="22" applyFont="1" applyFill="1" applyBorder="1" applyAlignment="1" applyProtection="1">
      <alignment horizontal="right"/>
      <protection/>
    </xf>
    <xf numFmtId="4" fontId="3" fillId="2" borderId="0" xfId="0" applyNumberFormat="1" applyFont="1" applyFill="1" applyBorder="1"/>
    <xf numFmtId="168" fontId="10" fillId="2" borderId="2" xfId="23" applyFont="1" applyFill="1" applyBorder="1">
      <alignment/>
      <protection/>
    </xf>
    <xf numFmtId="168" fontId="10" fillId="2" borderId="2" xfId="23" applyFont="1" applyFill="1" applyBorder="1" applyProtection="1">
      <alignment/>
      <protection/>
    </xf>
    <xf numFmtId="168" fontId="10" fillId="2" borderId="0" xfId="23" applyFont="1" applyFill="1" applyBorder="1">
      <alignment/>
      <protection/>
    </xf>
    <xf numFmtId="168" fontId="10" fillId="2" borderId="0" xfId="23" applyFont="1" applyFill="1" applyBorder="1" applyProtection="1">
      <alignment/>
      <protection/>
    </xf>
    <xf numFmtId="168" fontId="4" fillId="0" borderId="0" xfId="22" applyFont="1" applyFill="1" applyBorder="1" applyAlignment="1" applyProtection="1">
      <alignment horizontal="right"/>
      <protection/>
    </xf>
    <xf numFmtId="168" fontId="5" fillId="2" borderId="0" xfId="23" applyFont="1" applyFill="1" applyBorder="1">
      <alignment/>
      <protection/>
    </xf>
    <xf numFmtId="168" fontId="9" fillId="2" borderId="0" xfId="23" applyFont="1" applyFill="1" applyBorder="1">
      <alignment/>
      <protection/>
    </xf>
    <xf numFmtId="168" fontId="4" fillId="2" borderId="0" xfId="22" applyFont="1" applyFill="1" applyAlignment="1" applyProtection="1">
      <alignment horizontal="left"/>
      <protection/>
    </xf>
    <xf numFmtId="4" fontId="3" fillId="2" borderId="0" xfId="0" applyNumberFormat="1" applyFont="1" applyFill="1"/>
    <xf numFmtId="0" fontId="6" fillId="3" borderId="1" xfId="0" applyFont="1" applyFill="1" applyBorder="1" applyAlignment="1">
      <alignment horizontal="left" vertical="center" wrapText="1"/>
    </xf>
    <xf numFmtId="1" fontId="6" fillId="3" borderId="1" xfId="0" applyNumberFormat="1" applyFont="1" applyFill="1" applyBorder="1" applyAlignment="1">
      <alignment horizontal="right" vertical="center" wrapText="1"/>
    </xf>
    <xf numFmtId="4" fontId="6" fillId="3" borderId="1" xfId="0" applyNumberFormat="1" applyFont="1" applyFill="1" applyBorder="1" applyAlignment="1">
      <alignment horizontal="right" vertical="center" wrapText="1"/>
    </xf>
    <xf numFmtId="4" fontId="6" fillId="2" borderId="3" xfId="0" applyNumberFormat="1" applyFont="1" applyFill="1" applyBorder="1"/>
    <xf numFmtId="0" fontId="4" fillId="2" borderId="0" xfId="0" applyFont="1" applyFill="1" applyBorder="1"/>
    <xf numFmtId="0" fontId="4" fillId="2" borderId="0" xfId="0" applyFont="1" applyFill="1"/>
    <xf numFmtId="4" fontId="6" fillId="2" borderId="0" xfId="0" applyNumberFormat="1" applyFont="1" applyFill="1" applyBorder="1"/>
    <xf numFmtId="167" fontId="6" fillId="2" borderId="0" xfId="0" applyNumberFormat="1" applyFont="1" applyFill="1" applyBorder="1" applyAlignment="1">
      <alignment horizontal="right"/>
    </xf>
    <xf numFmtId="167" fontId="4" fillId="2" borderId="0" xfId="0" applyNumberFormat="1" applyFont="1" applyFill="1" applyBorder="1" applyAlignment="1">
      <alignment horizontal="right"/>
    </xf>
    <xf numFmtId="4" fontId="4" fillId="2" borderId="0" xfId="0" applyNumberFormat="1" applyFont="1" applyFill="1" applyBorder="1"/>
    <xf numFmtId="4" fontId="6" fillId="3" borderId="4" xfId="0" applyNumberFormat="1" applyFont="1" applyFill="1" applyBorder="1"/>
    <xf numFmtId="167" fontId="6" fillId="2" borderId="0" xfId="0" applyNumberFormat="1" applyFont="1" applyFill="1" applyBorder="1"/>
    <xf numFmtId="4" fontId="4" fillId="2" borderId="0" xfId="0" applyNumberFormat="1" applyFont="1" applyFill="1"/>
    <xf numFmtId="167" fontId="6" fillId="3" borderId="0" xfId="0" applyNumberFormat="1" applyFont="1" applyFill="1" applyBorder="1" applyAlignment="1">
      <alignment horizontal="right"/>
    </xf>
    <xf numFmtId="0" fontId="4" fillId="2" borderId="0" xfId="0" applyFont="1" applyFill="1" applyBorder="1" applyAlignment="1">
      <alignment horizontal="center"/>
    </xf>
    <xf numFmtId="165" fontId="4" fillId="2" borderId="0" xfId="0" applyNumberFormat="1" applyFont="1" applyFill="1" applyBorder="1" applyAlignment="1">
      <alignment horizontal="right"/>
    </xf>
    <xf numFmtId="4" fontId="4" fillId="2" borderId="0" xfId="0" applyNumberFormat="1" applyFont="1" applyFill="1" applyBorder="1" applyAlignment="1">
      <alignment horizontal="right"/>
    </xf>
    <xf numFmtId="168" fontId="4" fillId="2" borderId="2" xfId="22" applyFont="1" applyFill="1" applyBorder="1" applyAlignment="1" applyProtection="1">
      <alignment horizontal="right"/>
      <protection/>
    </xf>
    <xf numFmtId="168" fontId="4" fillId="2" borderId="0" xfId="22" applyFont="1" applyFill="1" applyProtection="1">
      <alignment/>
      <protection/>
    </xf>
    <xf numFmtId="168" fontId="8" fillId="2" borderId="0" xfId="22" applyFill="1">
      <alignment/>
      <protection/>
    </xf>
    <xf numFmtId="168" fontId="8" fillId="2" borderId="0" xfId="22" applyFont="1" applyFill="1">
      <alignment/>
      <protection/>
    </xf>
    <xf numFmtId="0" fontId="3" fillId="2" borderId="2" xfId="0" applyFont="1" applyFill="1" applyBorder="1"/>
    <xf numFmtId="168" fontId="12" fillId="2" borderId="0" xfId="23" applyFont="1" applyFill="1" applyProtection="1">
      <alignment/>
      <protection locked="0"/>
    </xf>
    <xf numFmtId="168" fontId="4" fillId="2" borderId="0" xfId="23" applyFont="1" applyFill="1" applyProtection="1">
      <alignment/>
      <protection/>
    </xf>
    <xf numFmtId="168" fontId="10" fillId="2" borderId="0" xfId="23" applyFont="1" applyFill="1" applyBorder="1" applyAlignment="1" applyProtection="1">
      <alignment/>
      <protection/>
    </xf>
    <xf numFmtId="1" fontId="4" fillId="2" borderId="0" xfId="22" applyNumberFormat="1" applyFont="1" applyFill="1" applyAlignment="1" applyProtection="1">
      <alignment horizontal="right"/>
      <protection/>
    </xf>
    <xf numFmtId="1" fontId="6" fillId="3" borderId="1" xfId="0" applyNumberFormat="1" applyFont="1" applyFill="1" applyBorder="1" applyAlignment="1">
      <alignment horizontal="left" vertical="center" wrapText="1"/>
    </xf>
    <xf numFmtId="0" fontId="3" fillId="3" borderId="1" xfId="0" applyFont="1" applyFill="1" applyBorder="1"/>
    <xf numFmtId="0" fontId="6" fillId="2" borderId="5" xfId="0" applyFont="1" applyFill="1" applyBorder="1"/>
    <xf numFmtId="4" fontId="6" fillId="2" borderId="5" xfId="0" applyNumberFormat="1" applyFont="1" applyFill="1" applyBorder="1"/>
    <xf numFmtId="0" fontId="4" fillId="2" borderId="5" xfId="0" applyFont="1" applyFill="1" applyBorder="1"/>
    <xf numFmtId="4" fontId="3" fillId="2" borderId="5" xfId="0" applyNumberFormat="1" applyFont="1" applyFill="1" applyBorder="1"/>
    <xf numFmtId="0" fontId="3" fillId="2" borderId="5" xfId="0" applyFont="1" applyFill="1" applyBorder="1"/>
    <xf numFmtId="0" fontId="6" fillId="2" borderId="0" xfId="0" applyFont="1" applyFill="1" applyBorder="1"/>
    <xf numFmtId="0" fontId="3" fillId="2" borderId="0" xfId="0" applyFont="1" applyFill="1" applyBorder="1"/>
    <xf numFmtId="0" fontId="4" fillId="2" borderId="0" xfId="0" applyFont="1" applyFill="1" applyBorder="1" applyAlignment="1">
      <alignment horizontal="left" indent="1"/>
    </xf>
    <xf numFmtId="172" fontId="4" fillId="2" borderId="0" xfId="0" applyNumberFormat="1" applyFont="1" applyFill="1" applyBorder="1" applyAlignment="1">
      <alignment horizontal="right"/>
    </xf>
    <xf numFmtId="164" fontId="4" fillId="2" borderId="0" xfId="0" applyNumberFormat="1" applyFont="1" applyFill="1" applyBorder="1" applyAlignment="1">
      <alignment horizontal="right"/>
    </xf>
    <xf numFmtId="2" fontId="4" fillId="2" borderId="0" xfId="0" applyNumberFormat="1" applyFont="1" applyFill="1" applyBorder="1" applyAlignment="1">
      <alignment horizontal="right"/>
    </xf>
    <xf numFmtId="0" fontId="11" fillId="2" borderId="0" xfId="0" applyFont="1" applyFill="1" applyBorder="1"/>
    <xf numFmtId="0" fontId="4" fillId="2" borderId="2" xfId="0" applyFont="1" applyFill="1" applyBorder="1"/>
    <xf numFmtId="172" fontId="4" fillId="2" borderId="2" xfId="0" applyNumberFormat="1" applyFont="1" applyFill="1" applyBorder="1" applyAlignment="1">
      <alignment horizontal="right"/>
    </xf>
    <xf numFmtId="165" fontId="6" fillId="2" borderId="0" xfId="0" applyNumberFormat="1" applyFont="1" applyFill="1" applyBorder="1" applyAlignment="1">
      <alignment horizontal="right"/>
    </xf>
    <xf numFmtId="168" fontId="5" fillId="2" borderId="1" xfId="23" applyNumberFormat="1" applyFont="1" applyFill="1" applyBorder="1" applyProtection="1">
      <alignment/>
      <protection locked="0"/>
    </xf>
    <xf numFmtId="168" fontId="10" fillId="0" borderId="2" xfId="22" applyFont="1" applyFill="1" applyBorder="1" applyAlignment="1" applyProtection="1">
      <alignment horizontal="right"/>
      <protection/>
    </xf>
    <xf numFmtId="168" fontId="10" fillId="2" borderId="2" xfId="22" applyFont="1" applyFill="1" applyBorder="1" applyAlignment="1" applyProtection="1">
      <alignment horizontal="right"/>
      <protection/>
    </xf>
    <xf numFmtId="168" fontId="10" fillId="2" borderId="2" xfId="22" applyFont="1" applyFill="1" applyBorder="1" applyAlignment="1" applyProtection="1">
      <alignment/>
      <protection/>
    </xf>
    <xf numFmtId="168" fontId="9" fillId="2" borderId="0" xfId="23" applyNumberFormat="1" applyFont="1" applyFill="1" applyBorder="1" applyProtection="1">
      <alignment/>
      <protection locked="0"/>
    </xf>
    <xf numFmtId="168" fontId="5" fillId="3" borderId="1" xfId="23" applyFont="1" applyFill="1" applyBorder="1">
      <alignment/>
      <protection/>
    </xf>
    <xf numFmtId="168" fontId="10" fillId="3" borderId="1" xfId="23" applyFont="1" applyFill="1" applyBorder="1" applyProtection="1">
      <alignment/>
      <protection/>
    </xf>
    <xf numFmtId="0" fontId="4" fillId="2" borderId="0" xfId="0" applyFont="1" applyFill="1" applyBorder="1" applyAlignment="1" applyProtection="1">
      <alignment horizontal="left"/>
      <protection locked="0"/>
    </xf>
    <xf numFmtId="0" fontId="4" fillId="2" borderId="2" xfId="0" applyFont="1" applyFill="1" applyBorder="1" applyAlignment="1">
      <alignment horizontal="left"/>
    </xf>
    <xf numFmtId="0" fontId="6" fillId="2" borderId="2" xfId="0" applyFont="1" applyFill="1" applyBorder="1" applyAlignment="1" applyProtection="1">
      <alignment horizontal="left"/>
      <protection locked="0"/>
    </xf>
    <xf numFmtId="0" fontId="6" fillId="2" borderId="0" xfId="0" applyFont="1" applyFill="1" applyBorder="1" applyAlignment="1" applyProtection="1">
      <alignment horizontal="left"/>
      <protection locked="0"/>
    </xf>
    <xf numFmtId="0" fontId="3" fillId="2" borderId="0" xfId="0" applyFont="1" applyFill="1" applyBorder="1" applyAlignment="1">
      <alignment horizontal="left"/>
    </xf>
    <xf numFmtId="0" fontId="2" fillId="2" borderId="0" xfId="0" applyFont="1" applyFill="1" applyBorder="1" applyAlignment="1">
      <alignment horizontal="left"/>
    </xf>
    <xf numFmtId="0" fontId="4" fillId="2" borderId="0" xfId="0" applyFont="1" applyFill="1" applyAlignment="1">
      <alignment horizontal="left"/>
    </xf>
    <xf numFmtId="0" fontId="4" fillId="2" borderId="2" xfId="0" applyFont="1" applyFill="1" applyBorder="1" applyAlignment="1" applyProtection="1">
      <alignment horizontal="left"/>
      <protection locked="0"/>
    </xf>
    <xf numFmtId="0" fontId="3" fillId="2" borderId="2" xfId="0" applyFont="1" applyFill="1" applyBorder="1" applyAlignment="1">
      <alignment horizontal="left"/>
    </xf>
    <xf numFmtId="0" fontId="3" fillId="2" borderId="0" xfId="0" applyFont="1" applyFill="1" applyAlignment="1">
      <alignment horizontal="left"/>
    </xf>
    <xf numFmtId="1" fontId="9" fillId="2" borderId="0" xfId="22" applyNumberFormat="1" applyFont="1" applyFill="1" applyAlignment="1" applyProtection="1">
      <alignment horizontal="center"/>
      <protection/>
    </xf>
    <xf numFmtId="0" fontId="3" fillId="2" borderId="1" xfId="0" applyFont="1" applyFill="1" applyBorder="1"/>
    <xf numFmtId="169" fontId="13" fillId="2" borderId="0" xfId="23" applyNumberFormat="1" applyFont="1" applyFill="1" applyBorder="1" applyAlignment="1" applyProtection="1" quotePrefix="1">
      <alignment horizontal="right"/>
      <protection locked="0"/>
    </xf>
    <xf numFmtId="0" fontId="0" fillId="0" borderId="2" xfId="0" applyBorder="1"/>
    <xf numFmtId="168" fontId="4" fillId="2" borderId="0" xfId="23" applyFont="1" applyFill="1" applyBorder="1">
      <alignment/>
      <protection/>
    </xf>
    <xf numFmtId="168" fontId="4" fillId="2" borderId="0" xfId="23" applyFont="1" applyFill="1" applyBorder="1" applyProtection="1">
      <alignment/>
      <protection/>
    </xf>
    <xf numFmtId="168" fontId="4" fillId="2" borderId="0" xfId="23" applyFont="1" applyFill="1" applyBorder="1" applyAlignment="1" applyProtection="1">
      <alignment/>
      <protection/>
    </xf>
    <xf numFmtId="169" fontId="12" fillId="2" borderId="0" xfId="23" applyNumberFormat="1" applyFont="1" applyFill="1" applyBorder="1" applyAlignment="1" applyProtection="1" quotePrefix="1">
      <alignment horizontal="center"/>
      <protection locked="0"/>
    </xf>
    <xf numFmtId="168" fontId="3" fillId="2" borderId="0" xfId="22" applyFont="1" applyFill="1" applyProtection="1">
      <alignment/>
      <protection/>
    </xf>
    <xf numFmtId="37" fontId="3" fillId="2" borderId="0" xfId="24" applyFont="1" applyFill="1" applyProtection="1">
      <alignment/>
      <protection/>
    </xf>
    <xf numFmtId="168" fontId="5" fillId="2" borderId="0" xfId="22" applyFont="1" applyFill="1" applyProtection="1">
      <alignment/>
      <protection/>
    </xf>
    <xf numFmtId="4" fontId="2" fillId="2" borderId="0" xfId="22" applyNumberFormat="1" applyFont="1" applyFill="1" applyBorder="1" applyProtection="1">
      <alignment/>
      <protection/>
    </xf>
    <xf numFmtId="168" fontId="2" fillId="2" borderId="0" xfId="22" applyNumberFormat="1" applyFont="1" applyFill="1" applyBorder="1" applyProtection="1">
      <alignment/>
      <protection/>
    </xf>
    <xf numFmtId="165" fontId="4" fillId="2" borderId="6" xfId="0" applyNumberFormat="1" applyFont="1" applyFill="1" applyBorder="1" applyAlignment="1">
      <alignment horizontal="right"/>
    </xf>
    <xf numFmtId="171" fontId="4" fillId="2" borderId="0" xfId="0" applyNumberFormat="1" applyFont="1" applyFill="1" applyBorder="1" applyAlignment="1">
      <alignment horizontal="right"/>
    </xf>
    <xf numFmtId="0" fontId="0" fillId="2" borderId="2" xfId="0" applyFill="1" applyBorder="1"/>
    <xf numFmtId="0" fontId="9" fillId="3" borderId="1" xfId="0" applyFont="1" applyFill="1" applyBorder="1" applyAlignment="1">
      <alignment vertical="center" wrapText="1"/>
    </xf>
    <xf numFmtId="0" fontId="4" fillId="4" borderId="2" xfId="0" applyFont="1" applyFill="1" applyBorder="1" applyAlignment="1">
      <alignment/>
    </xf>
    <xf numFmtId="0" fontId="6" fillId="4" borderId="2" xfId="0" applyFont="1" applyFill="1" applyBorder="1" applyAlignment="1">
      <alignment/>
    </xf>
    <xf numFmtId="171" fontId="4" fillId="2" borderId="2" xfId="0" applyNumberFormat="1" applyFont="1" applyFill="1" applyBorder="1" applyAlignment="1">
      <alignment horizontal="right"/>
    </xf>
    <xf numFmtId="4" fontId="4" fillId="2" borderId="0" xfId="0" applyNumberFormat="1" applyFont="1" applyFill="1" applyBorder="1" applyProtection="1">
      <protection locked="0"/>
    </xf>
    <xf numFmtId="0" fontId="4" fillId="2" borderId="7" xfId="0" applyFont="1" applyFill="1" applyBorder="1"/>
    <xf numFmtId="4" fontId="6" fillId="2" borderId="0" xfId="0" applyNumberFormat="1" applyFont="1" applyFill="1" applyBorder="1" applyProtection="1">
      <protection locked="0"/>
    </xf>
    <xf numFmtId="168" fontId="6" fillId="2" borderId="0" xfId="22" applyFont="1" applyFill="1" applyProtection="1">
      <alignment/>
      <protection/>
    </xf>
    <xf numFmtId="168" fontId="6" fillId="3" borderId="1" xfId="22" applyFont="1" applyFill="1" applyBorder="1" applyAlignment="1" applyProtection="1">
      <alignment horizontal="centerContinuous"/>
      <protection/>
    </xf>
    <xf numFmtId="168" fontId="4" fillId="3" borderId="1" xfId="22" applyFont="1" applyFill="1" applyBorder="1" applyAlignment="1" applyProtection="1">
      <alignment horizontal="centerContinuous"/>
      <protection/>
    </xf>
    <xf numFmtId="0" fontId="6" fillId="2" borderId="0" xfId="0" applyFont="1" applyFill="1" applyBorder="1" applyAlignment="1">
      <alignment horizontal="left" vertical="center" wrapText="1"/>
    </xf>
    <xf numFmtId="168" fontId="6" fillId="2" borderId="6" xfId="22" applyFont="1" applyFill="1" applyBorder="1" applyAlignment="1" applyProtection="1">
      <alignment horizontal="center"/>
      <protection/>
    </xf>
    <xf numFmtId="168" fontId="4" fillId="2" borderId="0" xfId="22" applyFont="1" applyFill="1" applyBorder="1" applyAlignment="1" applyProtection="1">
      <alignment horizontal="center"/>
      <protection/>
    </xf>
    <xf numFmtId="4" fontId="4" fillId="2" borderId="0" xfId="22" applyNumberFormat="1" applyFont="1" applyFill="1" applyBorder="1" applyProtection="1">
      <alignment/>
      <protection locked="0"/>
    </xf>
    <xf numFmtId="4" fontId="4" fillId="2" borderId="7" xfId="22" applyNumberFormat="1" applyFont="1" applyFill="1" applyBorder="1" applyProtection="1">
      <alignment/>
      <protection locked="0"/>
    </xf>
    <xf numFmtId="170" fontId="4" fillId="2" borderId="0" xfId="22" applyNumberFormat="1" applyFont="1" applyFill="1" applyBorder="1" applyAlignment="1" applyProtection="1">
      <alignment horizontal="right"/>
      <protection/>
    </xf>
    <xf numFmtId="4" fontId="6" fillId="3" borderId="4" xfId="22" applyNumberFormat="1" applyFont="1" applyFill="1" applyBorder="1" applyProtection="1">
      <alignment/>
      <protection locked="0"/>
    </xf>
    <xf numFmtId="170" fontId="6" fillId="3" borderId="4" xfId="22" applyNumberFormat="1" applyFont="1" applyFill="1" applyBorder="1" applyAlignment="1" applyProtection="1">
      <alignment horizontal="right"/>
      <protection/>
    </xf>
    <xf numFmtId="168" fontId="6" fillId="2" borderId="0" xfId="22" applyFont="1" applyFill="1" applyBorder="1" applyAlignment="1" applyProtection="1">
      <alignment horizontal="left"/>
      <protection/>
    </xf>
    <xf numFmtId="4" fontId="6" fillId="2" borderId="0" xfId="22" applyNumberFormat="1" applyFont="1" applyFill="1" applyBorder="1" applyProtection="1">
      <alignment/>
      <protection/>
    </xf>
    <xf numFmtId="4" fontId="6" fillId="2" borderId="7" xfId="22" applyNumberFormat="1" applyFont="1" applyFill="1" applyBorder="1" applyProtection="1">
      <alignment/>
      <protection/>
    </xf>
    <xf numFmtId="168" fontId="6" fillId="2" borderId="0" xfId="22" applyNumberFormat="1" applyFont="1" applyFill="1" applyBorder="1" applyProtection="1">
      <alignment/>
      <protection/>
    </xf>
    <xf numFmtId="168" fontId="2" fillId="2" borderId="0" xfId="22" applyFont="1" applyFill="1" applyBorder="1" applyAlignment="1" applyProtection="1">
      <alignment horizontal="left"/>
      <protection/>
    </xf>
    <xf numFmtId="4" fontId="2" fillId="2" borderId="0" xfId="22" applyNumberFormat="1" applyFont="1" applyFill="1" applyBorder="1" applyProtection="1">
      <alignment/>
      <protection locked="0"/>
    </xf>
    <xf numFmtId="168" fontId="6" fillId="2" borderId="7" xfId="22" applyFont="1" applyFill="1" applyBorder="1" applyAlignment="1" applyProtection="1">
      <alignment horizontal="center"/>
      <protection/>
    </xf>
    <xf numFmtId="168" fontId="6" fillId="3" borderId="1" xfId="22" applyFont="1" applyFill="1" applyBorder="1" applyAlignment="1" applyProtection="1">
      <alignment vertical="justify"/>
      <protection/>
    </xf>
    <xf numFmtId="0" fontId="4" fillId="3" borderId="1" xfId="0" applyFont="1" applyFill="1" applyBorder="1"/>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center" vertical="justify"/>
      <protection/>
    </xf>
    <xf numFmtId="0" fontId="6" fillId="2" borderId="0" xfId="0" applyFont="1" applyFill="1" applyBorder="1" applyAlignment="1">
      <alignment horizontal="center"/>
    </xf>
    <xf numFmtId="0" fontId="4" fillId="2" borderId="7" xfId="0" applyFont="1" applyFill="1" applyBorder="1" applyAlignment="1">
      <alignment horizontal="center"/>
    </xf>
    <xf numFmtId="0" fontId="4" fillId="2" borderId="3" xfId="0" applyFont="1" applyFill="1" applyBorder="1"/>
    <xf numFmtId="4" fontId="4" fillId="2" borderId="3" xfId="22" applyNumberFormat="1" applyFont="1" applyFill="1" applyBorder="1" applyProtection="1">
      <alignment/>
      <protection locked="0"/>
    </xf>
    <xf numFmtId="4" fontId="6" fillId="2" borderId="3" xfId="22" applyNumberFormat="1" applyFont="1" applyFill="1" applyBorder="1" applyProtection="1">
      <alignment/>
      <protection/>
    </xf>
    <xf numFmtId="0" fontId="14" fillId="2" borderId="0" xfId="0" applyFont="1" applyFill="1" applyBorder="1"/>
    <xf numFmtId="4" fontId="6" fillId="2" borderId="6" xfId="0" applyNumberFormat="1" applyFont="1" applyFill="1" applyBorder="1" applyAlignment="1">
      <alignment/>
    </xf>
    <xf numFmtId="4" fontId="4" fillId="2" borderId="0" xfId="0" applyNumberFormat="1" applyFont="1" applyFill="1" applyBorder="1" applyAlignment="1">
      <alignment/>
    </xf>
    <xf numFmtId="0" fontId="6" fillId="2" borderId="3" xfId="0" applyFont="1" applyFill="1" applyBorder="1" applyAlignment="1">
      <alignment/>
    </xf>
    <xf numFmtId="0" fontId="4" fillId="2" borderId="0" xfId="0" applyFont="1" applyFill="1" applyBorder="1" applyAlignment="1">
      <alignment/>
    </xf>
    <xf numFmtId="4" fontId="6" fillId="2" borderId="7" xfId="22" applyNumberFormat="1" applyFont="1" applyFill="1" applyBorder="1" applyProtection="1">
      <alignment/>
      <protection locked="0"/>
    </xf>
    <xf numFmtId="4" fontId="6" fillId="3" borderId="4" xfId="22" applyNumberFormat="1" applyFont="1" applyFill="1" applyBorder="1" applyProtection="1">
      <alignment/>
      <protection/>
    </xf>
    <xf numFmtId="0" fontId="15" fillId="2" borderId="0" xfId="0" applyFont="1" applyFill="1"/>
    <xf numFmtId="164" fontId="4" fillId="2" borderId="2" xfId="0" applyNumberFormat="1" applyFont="1" applyFill="1" applyBorder="1" applyAlignment="1">
      <alignment horizontal="right"/>
    </xf>
    <xf numFmtId="1" fontId="10" fillId="2" borderId="2" xfId="22" applyNumberFormat="1" applyFont="1" applyFill="1" applyBorder="1" applyAlignment="1" applyProtection="1">
      <alignment horizontal="left"/>
      <protection/>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49" fontId="16" fillId="2" borderId="12" xfId="0" applyNumberFormat="1" applyFont="1" applyFill="1" applyBorder="1" applyAlignment="1">
      <alignment horizontal="center" vertical="center" wrapText="1"/>
    </xf>
    <xf numFmtId="49" fontId="16" fillId="2" borderId="13" xfId="0" applyNumberFormat="1" applyFont="1" applyFill="1" applyBorder="1" applyAlignment="1">
      <alignment horizontal="center" vertical="center" wrapText="1"/>
    </xf>
    <xf numFmtId="49" fontId="16" fillId="2" borderId="14" xfId="0" applyNumberFormat="1" applyFont="1" applyFill="1" applyBorder="1" applyAlignment="1">
      <alignment horizontal="center" vertical="center" wrapText="1"/>
    </xf>
    <xf numFmtId="0" fontId="3" fillId="2" borderId="16" xfId="0" applyFont="1" applyFill="1" applyBorder="1"/>
    <xf numFmtId="4" fontId="17" fillId="5" borderId="12" xfId="0" applyNumberFormat="1" applyFont="1" applyFill="1" applyBorder="1" applyProtection="1">
      <protection locked="0"/>
    </xf>
    <xf numFmtId="0" fontId="3" fillId="2" borderId="11" xfId="0" applyFont="1" applyFill="1" applyBorder="1"/>
    <xf numFmtId="0" fontId="2" fillId="2" borderId="17" xfId="0" applyFont="1" applyFill="1" applyBorder="1" applyAlignment="1">
      <alignment horizontal="center"/>
    </xf>
    <xf numFmtId="4" fontId="2" fillId="2" borderId="18" xfId="0" applyNumberFormat="1" applyFont="1" applyFill="1" applyBorder="1"/>
    <xf numFmtId="4" fontId="2" fillId="2" borderId="19" xfId="0" applyNumberFormat="1" applyFont="1" applyFill="1" applyBorder="1"/>
    <xf numFmtId="0" fontId="3" fillId="2" borderId="15" xfId="0" applyFont="1" applyFill="1" applyBorder="1"/>
    <xf numFmtId="0" fontId="6" fillId="3" borderId="1" xfId="0" applyFont="1" applyFill="1" applyBorder="1" applyAlignment="1">
      <alignment horizontal="right" vertical="center" wrapText="1"/>
    </xf>
    <xf numFmtId="0" fontId="6" fillId="2" borderId="6" xfId="0" applyFont="1" applyFill="1" applyBorder="1" applyAlignment="1">
      <alignment/>
    </xf>
    <xf numFmtId="4" fontId="6" fillId="2" borderId="6" xfId="0" applyNumberFormat="1" applyFont="1" applyFill="1" applyBorder="1"/>
    <xf numFmtId="0" fontId="2" fillId="2"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168" fontId="6" fillId="3" borderId="1" xfId="22" applyFont="1" applyFill="1" applyBorder="1" applyAlignment="1" applyProtection="1">
      <alignment/>
      <protection/>
    </xf>
    <xf numFmtId="168" fontId="2" fillId="2" borderId="6" xfId="22" applyFont="1" applyFill="1" applyBorder="1" applyAlignment="1" applyProtection="1">
      <alignment horizontal="center" wrapText="1"/>
      <protection/>
    </xf>
    <xf numFmtId="166" fontId="6" fillId="3" borderId="4" xfId="22" applyNumberFormat="1" applyFont="1" applyFill="1" applyBorder="1" applyProtection="1">
      <alignment/>
      <protection locked="0"/>
    </xf>
    <xf numFmtId="0" fontId="6" fillId="3" borderId="4" xfId="0" applyFont="1" applyFill="1" applyBorder="1" applyAlignment="1">
      <alignment/>
    </xf>
    <xf numFmtId="0" fontId="6" fillId="2" borderId="3" xfId="0" applyFont="1" applyFill="1" applyBorder="1" applyAlignment="1">
      <alignment horizontal="right"/>
    </xf>
    <xf numFmtId="0" fontId="6" fillId="3" borderId="4" xfId="0" applyFont="1" applyFill="1" applyBorder="1" applyAlignment="1">
      <alignment horizontal="right" wrapText="1"/>
    </xf>
    <xf numFmtId="0" fontId="6" fillId="3" borderId="4" xfId="0" applyFont="1" applyFill="1" applyBorder="1" applyAlignment="1">
      <alignment wrapText="1"/>
    </xf>
    <xf numFmtId="0" fontId="2" fillId="2" borderId="23" xfId="0" applyFont="1" applyFill="1" applyBorder="1" applyAlignment="1">
      <alignment horizontal="center" vertical="center" wrapText="1"/>
    </xf>
    <xf numFmtId="0" fontId="2" fillId="2" borderId="22" xfId="0" applyFont="1" applyFill="1" applyBorder="1" applyAlignment="1">
      <alignment horizontal="center" vertical="center"/>
    </xf>
    <xf numFmtId="0" fontId="2" fillId="4" borderId="11" xfId="0" applyFont="1" applyFill="1" applyBorder="1"/>
    <xf numFmtId="0" fontId="3" fillId="4" borderId="11" xfId="0" applyFont="1" applyFill="1" applyBorder="1"/>
    <xf numFmtId="0" fontId="2" fillId="2" borderId="11" xfId="0" applyFont="1" applyFill="1" applyBorder="1" applyAlignment="1">
      <alignment wrapText="1"/>
    </xf>
    <xf numFmtId="0" fontId="2" fillId="2" borderId="17" xfId="0" applyFont="1" applyFill="1" applyBorder="1" applyAlignment="1">
      <alignment wrapText="1"/>
    </xf>
    <xf numFmtId="0" fontId="2" fillId="2" borderId="24" xfId="0" applyFont="1" applyFill="1" applyBorder="1"/>
    <xf numFmtId="0" fontId="3" fillId="2" borderId="25" xfId="0" applyFont="1" applyFill="1" applyBorder="1"/>
    <xf numFmtId="0" fontId="2" fillId="4" borderId="25" xfId="0" applyFont="1" applyFill="1" applyBorder="1"/>
    <xf numFmtId="0" fontId="2" fillId="2" borderId="25" xfId="0" applyFont="1" applyFill="1" applyBorder="1"/>
    <xf numFmtId="0" fontId="2" fillId="2" borderId="26" xfId="0" applyFont="1" applyFill="1" applyBorder="1"/>
    <xf numFmtId="4" fontId="6" fillId="3" borderId="4" xfId="0" applyNumberFormat="1" applyFont="1" applyFill="1" applyBorder="1" applyAlignment="1">
      <alignment wrapText="1"/>
    </xf>
    <xf numFmtId="4" fontId="6" fillId="2" borderId="3" xfId="0" applyNumberFormat="1" applyFont="1" applyFill="1" applyBorder="1" applyAlignment="1">
      <alignment/>
    </xf>
    <xf numFmtId="4" fontId="4" fillId="2" borderId="27" xfId="22" applyNumberFormat="1" applyFont="1" applyFill="1" applyBorder="1" applyProtection="1">
      <alignment/>
      <protection locked="0"/>
    </xf>
    <xf numFmtId="168" fontId="6" fillId="2" borderId="6" xfId="22" applyFont="1" applyFill="1" applyBorder="1" applyAlignment="1" applyProtection="1">
      <alignment horizontal="left"/>
      <protection/>
    </xf>
    <xf numFmtId="168" fontId="6" fillId="2" borderId="28" xfId="22" applyFont="1" applyFill="1" applyBorder="1" applyAlignment="1" applyProtection="1">
      <alignment/>
      <protection/>
    </xf>
    <xf numFmtId="4" fontId="4" fillId="2" borderId="2" xfId="22" applyNumberFormat="1" applyFont="1" applyFill="1" applyBorder="1" applyProtection="1">
      <alignment/>
      <protection locked="0"/>
    </xf>
    <xf numFmtId="1" fontId="6" fillId="2" borderId="0" xfId="22" applyNumberFormat="1" applyFont="1" applyFill="1" applyAlignment="1" applyProtection="1">
      <alignment horizontal="right"/>
      <protection/>
    </xf>
    <xf numFmtId="1" fontId="6" fillId="2" borderId="0" xfId="0" applyNumberFormat="1" applyFont="1" applyFill="1"/>
    <xf numFmtId="0" fontId="0" fillId="2" borderId="7" xfId="0" applyFill="1" applyBorder="1"/>
    <xf numFmtId="1" fontId="4" fillId="2" borderId="0" xfId="0" applyNumberFormat="1" applyFont="1" applyFill="1" applyBorder="1" applyAlignment="1" applyProtection="1">
      <alignment horizontal="left"/>
      <protection locked="0"/>
    </xf>
    <xf numFmtId="168" fontId="6" fillId="3" borderId="1" xfId="23" applyFont="1" applyFill="1" applyBorder="1" applyAlignment="1" applyProtection="1">
      <alignment vertical="center"/>
      <protection/>
    </xf>
    <xf numFmtId="165" fontId="4" fillId="2" borderId="2" xfId="0" applyNumberFormat="1" applyFont="1" applyFill="1" applyBorder="1" applyAlignment="1">
      <alignment horizontal="right"/>
    </xf>
    <xf numFmtId="0" fontId="4" fillId="4" borderId="3" xfId="0" applyFont="1" applyFill="1" applyBorder="1" applyAlignment="1">
      <alignment/>
    </xf>
    <xf numFmtId="165" fontId="4" fillId="2" borderId="3" xfId="0" applyNumberFormat="1" applyFont="1" applyFill="1" applyBorder="1" applyAlignment="1">
      <alignment horizontal="right"/>
    </xf>
    <xf numFmtId="0" fontId="4" fillId="4" borderId="6" xfId="0" applyFont="1" applyFill="1" applyBorder="1" applyAlignment="1">
      <alignment/>
    </xf>
    <xf numFmtId="0" fontId="4" fillId="4" borderId="4" xfId="0" applyFont="1" applyFill="1" applyBorder="1" applyAlignment="1">
      <alignment/>
    </xf>
    <xf numFmtId="0" fontId="4" fillId="2" borderId="0" xfId="0" applyFont="1" applyFill="1" applyBorder="1" applyAlignment="1">
      <alignment horizontal="left"/>
    </xf>
    <xf numFmtId="0" fontId="6" fillId="2" borderId="29" xfId="0" applyFont="1" applyFill="1" applyBorder="1" applyAlignment="1">
      <alignment horizontal="left"/>
    </xf>
    <xf numFmtId="4" fontId="6" fillId="2" borderId="29" xfId="0" applyNumberFormat="1" applyFont="1" applyFill="1" applyBorder="1"/>
    <xf numFmtId="167" fontId="6" fillId="2" borderId="29" xfId="0" applyNumberFormat="1" applyFont="1" applyFill="1" applyBorder="1" applyAlignment="1">
      <alignment horizontal="right"/>
    </xf>
    <xf numFmtId="0" fontId="6" fillId="2" borderId="29" xfId="0" applyFont="1" applyFill="1" applyBorder="1"/>
    <xf numFmtId="0" fontId="6" fillId="3" borderId="30" xfId="0" applyFont="1" applyFill="1" applyBorder="1" applyAlignment="1">
      <alignment horizontal="left"/>
    </xf>
    <xf numFmtId="4" fontId="6" fillId="3" borderId="30" xfId="0" applyNumberFormat="1" applyFont="1" applyFill="1" applyBorder="1"/>
    <xf numFmtId="167" fontId="6" fillId="3" borderId="30" xfId="0" applyNumberFormat="1" applyFont="1" applyFill="1" applyBorder="1" applyAlignment="1">
      <alignment horizontal="right"/>
    </xf>
    <xf numFmtId="0" fontId="6" fillId="3" borderId="29" xfId="0" applyFont="1" applyFill="1" applyBorder="1"/>
    <xf numFmtId="4" fontId="6" fillId="3" borderId="29" xfId="0" applyNumberFormat="1" applyFont="1" applyFill="1" applyBorder="1"/>
    <xf numFmtId="0" fontId="6" fillId="3" borderId="30" xfId="0" applyFont="1" applyFill="1" applyBorder="1"/>
    <xf numFmtId="0" fontId="4" fillId="2" borderId="0" xfId="0" applyFont="1" applyFill="1" applyBorder="1" applyAlignment="1">
      <alignment horizontal="left"/>
    </xf>
    <xf numFmtId="0" fontId="6" fillId="3" borderId="1" xfId="0" applyFont="1" applyFill="1" applyBorder="1" applyAlignment="1">
      <alignment horizontal="left" vertical="center" wrapText="1"/>
    </xf>
    <xf numFmtId="0" fontId="0" fillId="0" borderId="0" xfId="0" applyAlignment="1">
      <alignment shrinkToFit="1"/>
    </xf>
    <xf numFmtId="173" fontId="4" fillId="2" borderId="6" xfId="0" applyNumberFormat="1" applyFont="1" applyFill="1" applyBorder="1" applyAlignment="1">
      <alignment horizontal="right"/>
    </xf>
    <xf numFmtId="0" fontId="4" fillId="4" borderId="0" xfId="0" applyFont="1" applyFill="1" applyBorder="1" applyAlignment="1">
      <alignment/>
    </xf>
    <xf numFmtId="173" fontId="4" fillId="2" borderId="0" xfId="0" applyNumberFormat="1" applyFont="1" applyFill="1" applyBorder="1" applyAlignment="1">
      <alignment horizontal="right"/>
    </xf>
    <xf numFmtId="173" fontId="4" fillId="2" borderId="4" xfId="0" applyNumberFormat="1" applyFont="1" applyFill="1" applyBorder="1" applyAlignment="1">
      <alignment horizontal="right"/>
    </xf>
    <xf numFmtId="173" fontId="4" fillId="2" borderId="3" xfId="0" applyNumberFormat="1" applyFont="1" applyFill="1" applyBorder="1" applyAlignment="1">
      <alignment horizontal="right"/>
    </xf>
    <xf numFmtId="0" fontId="4" fillId="2" borderId="0" xfId="0" applyFont="1" applyFill="1" applyBorder="1" applyAlignment="1">
      <alignment horizontal="justify" vertical="center" wrapText="1" readingOrder="1"/>
    </xf>
    <xf numFmtId="168" fontId="10" fillId="2" borderId="2" xfId="22" applyFont="1" applyFill="1" applyBorder="1" applyAlignment="1" applyProtection="1">
      <alignment horizontal="right"/>
      <protection/>
    </xf>
    <xf numFmtId="0" fontId="6" fillId="3" borderId="4" xfId="0" applyFont="1" applyFill="1" applyBorder="1" applyAlignment="1">
      <alignment horizontal="left"/>
    </xf>
    <xf numFmtId="0" fontId="6" fillId="3" borderId="1" xfId="0" applyFont="1" applyFill="1" applyBorder="1" applyAlignment="1">
      <alignment horizontal="left" vertical="center" wrapText="1"/>
    </xf>
    <xf numFmtId="168" fontId="6" fillId="2" borderId="0" xfId="22" applyFont="1" applyFill="1" applyBorder="1" applyAlignment="1" applyProtection="1">
      <alignment horizontal="center"/>
      <protection/>
    </xf>
    <xf numFmtId="168" fontId="6" fillId="2" borderId="0" xfId="22" applyFont="1" applyFill="1" applyBorder="1" applyAlignment="1" applyProtection="1">
      <alignment horizontal="left"/>
      <protection/>
    </xf>
    <xf numFmtId="0" fontId="6" fillId="2" borderId="3" xfId="0" applyFont="1" applyFill="1" applyBorder="1" applyAlignment="1">
      <alignment horizontal="left"/>
    </xf>
    <xf numFmtId="0" fontId="4" fillId="2" borderId="2" xfId="0" applyFont="1" applyFill="1" applyBorder="1" applyAlignment="1">
      <alignment horizontal="left"/>
    </xf>
    <xf numFmtId="0" fontId="4" fillId="2" borderId="0" xfId="0" applyFont="1" applyFill="1" applyBorder="1" applyAlignment="1">
      <alignment horizontal="left"/>
    </xf>
    <xf numFmtId="0" fontId="2" fillId="2" borderId="8"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9" xfId="0" applyFont="1" applyFill="1" applyBorder="1" applyAlignment="1">
      <alignment horizontal="center" vertical="center" wrapText="1"/>
    </xf>
    <xf numFmtId="168" fontId="6" fillId="2" borderId="31" xfId="22" applyFont="1" applyFill="1" applyBorder="1" applyAlignment="1" applyProtection="1">
      <alignment horizontal="center"/>
      <protection/>
    </xf>
    <xf numFmtId="168" fontId="6" fillId="2" borderId="6" xfId="22" applyFont="1" applyFill="1" applyBorder="1" applyAlignment="1" applyProtection="1">
      <alignment horizontal="center"/>
      <protection/>
    </xf>
    <xf numFmtId="168" fontId="6" fillId="2" borderId="32" xfId="22" applyFont="1" applyFill="1" applyBorder="1" applyAlignment="1" applyProtection="1">
      <alignment horizontal="center"/>
      <protection/>
    </xf>
    <xf numFmtId="168" fontId="6" fillId="2" borderId="6" xfId="22" applyFont="1" applyFill="1" applyBorder="1" applyAlignment="1" applyProtection="1">
      <alignment horizontal="left"/>
      <protection/>
    </xf>
    <xf numFmtId="168" fontId="6" fillId="3" borderId="33" xfId="22" applyFont="1" applyFill="1" applyBorder="1" applyAlignment="1" applyProtection="1">
      <alignment horizontal="left" vertical="center"/>
      <protection/>
    </xf>
    <xf numFmtId="168" fontId="6" fillId="3" borderId="1" xfId="22" applyFont="1" applyFill="1" applyBorder="1" applyAlignment="1" applyProtection="1">
      <alignment horizontal="center"/>
      <protection/>
    </xf>
    <xf numFmtId="168" fontId="6" fillId="3" borderId="4" xfId="22" applyFont="1" applyFill="1" applyBorder="1" applyAlignment="1" applyProtection="1">
      <alignment horizontal="left"/>
      <protection/>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34"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4" fillId="2" borderId="6" xfId="0" applyFont="1" applyFill="1" applyBorder="1" applyAlignment="1">
      <alignment horizontal="left"/>
    </xf>
  </cellXfs>
  <cellStyles count="11">
    <cellStyle name="Normal" xfId="0"/>
    <cellStyle name="Percent" xfId="15"/>
    <cellStyle name="Currency" xfId="16"/>
    <cellStyle name="Currency [0]" xfId="17"/>
    <cellStyle name="Comma" xfId="18"/>
    <cellStyle name="Comma [0]" xfId="19"/>
    <cellStyle name="No-definido" xfId="20"/>
    <cellStyle name="Normal 2" xfId="21"/>
    <cellStyle name="Normal_cuenta 00 AGOST" xfId="22"/>
    <cellStyle name="Normal_cuenta 01 AGOST" xfId="23"/>
    <cellStyle name="Normal_E. de liquidación del presupue." xfId="2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externalLink" Target="externalLinks/externalLink6.xml" /><Relationship Id="rId16" Type="http://schemas.openxmlformats.org/officeDocument/2006/relationships/externalLink" Target="externalLinks/externalLink7.xml" /><Relationship Id="rId17" Type="http://schemas.openxmlformats.org/officeDocument/2006/relationships/externalLink" Target="externalLinks/externalLink8.xml" /><Relationship Id="rId18" Type="http://schemas.openxmlformats.org/officeDocument/2006/relationships/externalLink" Target="externalLinks/externalLink9.xml" /><Relationship Id="rId19" Type="http://schemas.openxmlformats.org/officeDocument/2006/relationships/externalLink" Target="externalLinks/externalLink10.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042" name="Picture 1" descr="sello"/>
        <xdr:cNvPicPr preferRelativeResize="1">
          <a:picLocks noChangeAspect="1"/>
        </xdr:cNvPicPr>
      </xdr:nvPicPr>
      <xdr:blipFill>
        <a:blip r:embed="rId1"/>
        <a:stretch>
          <a:fillRect/>
        </a:stretch>
      </xdr:blipFill>
      <xdr:spPr bwMode="auto">
        <a:xfrm>
          <a:off x="9525" y="85725"/>
          <a:ext cx="504825" cy="685800"/>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2066"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3090"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6162" name="Picture 1" descr="sello"/>
        <xdr:cNvPicPr preferRelativeResize="1">
          <a:picLocks noChangeAspect="1"/>
        </xdr:cNvPicPr>
      </xdr:nvPicPr>
      <xdr:blipFill>
        <a:blip r:embed="rId1"/>
        <a:stretch>
          <a:fillRect/>
        </a:stretch>
      </xdr:blipFill>
      <xdr:spPr bwMode="auto">
        <a:xfrm>
          <a:off x="0" y="0"/>
          <a:ext cx="647700" cy="876300"/>
        </a:xfrm>
        <a:prstGeom prst="rect">
          <a:avLst/>
        </a:prstGeom>
        <a:noFill/>
        <a:ln w="9525">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4115" name="Picture 2" descr="sello"/>
        <xdr:cNvPicPr preferRelativeResize="1">
          <a:picLocks noChangeAspect="1"/>
        </xdr:cNvPicPr>
      </xdr:nvPicPr>
      <xdr:blipFill>
        <a:blip r:embed="rId1"/>
        <a:stretch>
          <a:fillRect/>
        </a:stretch>
      </xdr:blipFill>
      <xdr:spPr bwMode="auto">
        <a:xfrm>
          <a:off x="0" y="0"/>
          <a:ext cx="590550" cy="800100"/>
        </a:xfrm>
        <a:prstGeom prst="rect">
          <a:avLst/>
        </a:prstGeom>
        <a:noFill/>
        <a:ln w="9525">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5138" name="Picture 1" descr="sello"/>
        <xdr:cNvPicPr preferRelativeResize="1">
          <a:picLocks noChangeAspect="1"/>
        </xdr:cNvPicPr>
      </xdr:nvPicPr>
      <xdr:blipFill>
        <a:blip r:embed="rId1"/>
        <a:stretch>
          <a:fillRect/>
        </a:stretch>
      </xdr:blipFill>
      <xdr:spPr bwMode="auto">
        <a:xfrm>
          <a:off x="0" y="0"/>
          <a:ext cx="600075" cy="800100"/>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6\21500_X110_2016.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2013\21504_X100_201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6\21501_X110_201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6\21502_X110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6\21503_X110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016\21504_X110_2016.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2013\21500_X100_2013.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2013\21501_X110_2013.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2013\21502_X110_2013.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3\21503_X100_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776631150.1899999</v>
          </cell>
          <cell r="L3">
            <v>623140290.9999999</v>
          </cell>
        </row>
        <row r="4">
          <cell r="D4">
            <v>0</v>
          </cell>
          <cell r="L4">
            <v>615772369.2499999</v>
          </cell>
        </row>
        <row r="5">
          <cell r="D5">
            <v>0</v>
          </cell>
          <cell r="L5">
            <v>629714162.66</v>
          </cell>
        </row>
        <row r="6">
          <cell r="D6">
            <v>0</v>
          </cell>
          <cell r="L6">
            <v>0</v>
          </cell>
        </row>
        <row r="7">
          <cell r="D7">
            <v>0</v>
          </cell>
          <cell r="L7">
            <v>4613348.3</v>
          </cell>
        </row>
        <row r="8">
          <cell r="D8">
            <v>0</v>
          </cell>
          <cell r="L8">
            <v>0</v>
          </cell>
        </row>
        <row r="9">
          <cell r="D9">
            <v>0</v>
          </cell>
          <cell r="L9">
            <v>-18555141.71</v>
          </cell>
        </row>
        <row r="10">
          <cell r="D10">
            <v>7051354.529999994</v>
          </cell>
          <cell r="L10">
            <v>0</v>
          </cell>
        </row>
        <row r="11">
          <cell r="D11">
            <v>0</v>
          </cell>
          <cell r="L11">
            <v>0</v>
          </cell>
        </row>
        <row r="12">
          <cell r="D12">
            <v>0</v>
          </cell>
          <cell r="L12">
            <v>0</v>
          </cell>
        </row>
        <row r="13">
          <cell r="D13">
            <v>17577544.56</v>
          </cell>
          <cell r="L13">
            <v>0</v>
          </cell>
        </row>
        <row r="14">
          <cell r="D14">
            <v>1673.22</v>
          </cell>
          <cell r="L14">
            <v>0</v>
          </cell>
        </row>
        <row r="15">
          <cell r="D15">
            <v>9101303.67</v>
          </cell>
          <cell r="L15">
            <v>7367921.75</v>
          </cell>
        </row>
        <row r="16">
          <cell r="D16">
            <v>-19629166.92</v>
          </cell>
          <cell r="L16">
            <v>94838165.27</v>
          </cell>
        </row>
        <row r="17">
          <cell r="D17">
            <v>0</v>
          </cell>
          <cell r="L17">
            <v>8823843.55</v>
          </cell>
        </row>
        <row r="18">
          <cell r="D18">
            <v>608440566.01</v>
          </cell>
          <cell r="L18">
            <v>90671575.47999999</v>
          </cell>
        </row>
        <row r="19">
          <cell r="D19">
            <v>726294196.36</v>
          </cell>
          <cell r="L19">
            <v>45075907.83</v>
          </cell>
        </row>
        <row r="20">
          <cell r="D20">
            <v>20791783.95</v>
          </cell>
          <cell r="L20">
            <v>45075907.83</v>
          </cell>
        </row>
        <row r="21">
          <cell r="D21">
            <v>81405418.99</v>
          </cell>
          <cell r="L21">
            <v>0</v>
          </cell>
        </row>
        <row r="22">
          <cell r="D22">
            <v>188118850.87</v>
          </cell>
          <cell r="L22">
            <v>0</v>
          </cell>
        </row>
        <row r="23">
          <cell r="D23">
            <v>-408169684.16</v>
          </cell>
          <cell r="L23">
            <v>0</v>
          </cell>
        </row>
        <row r="24">
          <cell r="D24">
            <v>0</v>
          </cell>
          <cell r="L24">
            <v>45595667.65</v>
          </cell>
        </row>
        <row r="25">
          <cell r="D25">
            <v>161139229.65</v>
          </cell>
          <cell r="L25">
            <v>0</v>
          </cell>
        </row>
        <row r="26">
          <cell r="D26">
            <v>1572049.69</v>
          </cell>
          <cell r="L26">
            <v>45595667.65</v>
          </cell>
        </row>
        <row r="27">
          <cell r="D27">
            <v>159569858.92000002</v>
          </cell>
          <cell r="L27">
            <v>0</v>
          </cell>
        </row>
        <row r="28">
          <cell r="D28">
            <v>0</v>
          </cell>
          <cell r="L28">
            <v>0</v>
          </cell>
        </row>
        <row r="29">
          <cell r="D29">
            <v>-2678.96</v>
          </cell>
          <cell r="L29">
            <v>0</v>
          </cell>
        </row>
        <row r="30">
          <cell r="D30">
            <v>0</v>
          </cell>
        </row>
        <row r="31">
          <cell r="D31">
            <v>979121.96</v>
          </cell>
          <cell r="L31">
            <v>116190624.04</v>
          </cell>
        </row>
        <row r="32">
          <cell r="D32">
            <v>156054227.19</v>
          </cell>
          <cell r="L32">
            <v>130411.39</v>
          </cell>
        </row>
        <row r="33">
          <cell r="D33">
            <v>0</v>
          </cell>
          <cell r="L33">
            <v>0</v>
          </cell>
        </row>
        <row r="34">
          <cell r="D34">
            <v>0</v>
          </cell>
          <cell r="L34">
            <v>0</v>
          </cell>
        </row>
        <row r="35">
          <cell r="D35">
            <v>0</v>
          </cell>
          <cell r="L35">
            <v>130411.39</v>
          </cell>
        </row>
        <row r="36">
          <cell r="D36">
            <v>0</v>
          </cell>
          <cell r="L36">
            <v>0</v>
          </cell>
        </row>
        <row r="37">
          <cell r="D37">
            <v>0</v>
          </cell>
          <cell r="L37">
            <v>0</v>
          </cell>
        </row>
        <row r="38">
          <cell r="D38">
            <v>0</v>
          </cell>
          <cell r="L38">
            <v>0</v>
          </cell>
        </row>
        <row r="39">
          <cell r="D39">
            <v>0</v>
          </cell>
          <cell r="L39">
            <v>0</v>
          </cell>
        </row>
        <row r="40">
          <cell r="D40">
            <v>148942427.58</v>
          </cell>
          <cell r="L40">
            <v>43024399.17</v>
          </cell>
        </row>
        <row r="41">
          <cell r="D41">
            <v>112289766.35</v>
          </cell>
          <cell r="L41">
            <v>14546758.07</v>
          </cell>
        </row>
        <row r="42">
          <cell r="D42">
            <v>34281861</v>
          </cell>
          <cell r="L42">
            <v>4543240.81</v>
          </cell>
        </row>
        <row r="43">
          <cell r="D43">
            <v>0</v>
          </cell>
          <cell r="L43">
            <v>0</v>
          </cell>
        </row>
        <row r="44">
          <cell r="D44">
            <v>2697070.83</v>
          </cell>
          <cell r="L44">
            <v>7577705.04</v>
          </cell>
        </row>
        <row r="45">
          <cell r="D45">
            <v>149966.56</v>
          </cell>
          <cell r="L45">
            <v>16239303.66</v>
          </cell>
        </row>
        <row r="46">
          <cell r="D46">
            <v>-476237.16</v>
          </cell>
          <cell r="L46">
            <v>117391.59</v>
          </cell>
        </row>
        <row r="47">
          <cell r="D47">
            <v>1160115.3900000001</v>
          </cell>
          <cell r="L47">
            <v>73035813.48</v>
          </cell>
        </row>
        <row r="48">
          <cell r="D48">
            <v>620061.74</v>
          </cell>
          <cell r="L48">
            <v>0</v>
          </cell>
        </row>
        <row r="49">
          <cell r="D49">
            <v>0</v>
          </cell>
          <cell r="L49">
            <v>0</v>
          </cell>
        </row>
        <row r="50">
          <cell r="D50">
            <v>540053.65</v>
          </cell>
          <cell r="L50">
            <v>933664499.3399998</v>
          </cell>
        </row>
        <row r="51">
          <cell r="D51">
            <v>0</v>
          </cell>
        </row>
        <row r="52">
          <cell r="D52">
            <v>5951684.22</v>
          </cell>
        </row>
        <row r="53">
          <cell r="D53">
            <v>0</v>
          </cell>
        </row>
        <row r="54">
          <cell r="D54">
            <v>933664499.3399999</v>
          </cell>
        </row>
      </sheetData>
      <sheetData sheetId="2">
        <row r="4">
          <cell r="D4">
            <v>0</v>
          </cell>
          <cell r="L4">
            <v>16226041.05</v>
          </cell>
        </row>
        <row r="5">
          <cell r="D5">
            <v>0</v>
          </cell>
        </row>
        <row r="8">
          <cell r="L8">
            <v>0</v>
          </cell>
        </row>
        <row r="10">
          <cell r="D10">
            <v>242327190.1</v>
          </cell>
          <cell r="L10">
            <v>66070469.61</v>
          </cell>
        </row>
        <row r="11">
          <cell r="D11">
            <v>212389867.73</v>
          </cell>
          <cell r="L11">
            <v>1293499.04</v>
          </cell>
        </row>
        <row r="12">
          <cell r="D12">
            <v>29937322.37</v>
          </cell>
          <cell r="L12">
            <v>0</v>
          </cell>
        </row>
        <row r="13">
          <cell r="D13">
            <v>53798.37</v>
          </cell>
          <cell r="L13">
            <v>2432763.3600000003</v>
          </cell>
        </row>
        <row r="14">
          <cell r="D14">
            <v>24546398.38</v>
          </cell>
          <cell r="L14">
            <v>1852357.81</v>
          </cell>
        </row>
        <row r="15">
          <cell r="D15">
            <v>0</v>
          </cell>
          <cell r="L15">
            <v>580405.55</v>
          </cell>
        </row>
        <row r="16">
          <cell r="L16">
            <v>0</v>
          </cell>
        </row>
        <row r="17">
          <cell r="L17">
            <v>0</v>
          </cell>
        </row>
        <row r="18">
          <cell r="D18">
            <v>77688489.89999999</v>
          </cell>
          <cell r="L18">
            <v>9758.76</v>
          </cell>
        </row>
        <row r="19">
          <cell r="D19">
            <v>77458474.63</v>
          </cell>
        </row>
        <row r="20">
          <cell r="D20">
            <v>230015.27</v>
          </cell>
        </row>
        <row r="21">
          <cell r="D21">
            <v>0</v>
          </cell>
          <cell r="L21">
            <v>0</v>
          </cell>
        </row>
        <row r="22">
          <cell r="D22">
            <v>3815683.7800000003</v>
          </cell>
        </row>
        <row r="23">
          <cell r="L23">
            <v>228027840</v>
          </cell>
        </row>
        <row r="24">
          <cell r="L24">
            <v>19618115.23</v>
          </cell>
        </row>
        <row r="25">
          <cell r="D25">
            <v>0</v>
          </cell>
          <cell r="L25">
            <v>0</v>
          </cell>
        </row>
        <row r="26">
          <cell r="D26">
            <v>0</v>
          </cell>
          <cell r="L26">
            <v>36203937.63</v>
          </cell>
        </row>
        <row r="27">
          <cell r="L27">
            <v>801983.89</v>
          </cell>
        </row>
        <row r="28">
          <cell r="D28">
            <v>396387.55</v>
          </cell>
          <cell r="L28">
            <v>11106.65</v>
          </cell>
        </row>
        <row r="29">
          <cell r="D29">
            <v>8119087.33</v>
          </cell>
          <cell r="L29">
            <v>0</v>
          </cell>
        </row>
        <row r="30">
          <cell r="D30">
            <v>1907057.3</v>
          </cell>
          <cell r="L30">
            <v>115.7</v>
          </cell>
        </row>
        <row r="31">
          <cell r="D31">
            <v>534209</v>
          </cell>
          <cell r="L31">
            <v>790761.54</v>
          </cell>
        </row>
        <row r="32">
          <cell r="D32">
            <v>3928185.11</v>
          </cell>
        </row>
        <row r="33">
          <cell r="D33">
            <v>127070.55</v>
          </cell>
        </row>
        <row r="34">
          <cell r="D34">
            <v>0</v>
          </cell>
        </row>
        <row r="35">
          <cell r="D35">
            <v>2425440.79</v>
          </cell>
        </row>
        <row r="36">
          <cell r="D36">
            <v>1375673.77</v>
          </cell>
        </row>
      </sheetData>
      <sheetData sheetId="3">
        <row r="5">
          <cell r="D5">
            <v>219129272</v>
          </cell>
          <cell r="E5">
            <v>7814409.439999998</v>
          </cell>
          <cell r="F5">
            <v>226943681.44</v>
          </cell>
          <cell r="G5">
            <v>218998126.75</v>
          </cell>
          <cell r="H5">
            <v>218998126.75</v>
          </cell>
          <cell r="I5">
            <v>7945554.689999998</v>
          </cell>
          <cell r="J5">
            <v>213130877.13</v>
          </cell>
          <cell r="K5">
            <v>5867249.620000005</v>
          </cell>
        </row>
        <row r="6">
          <cell r="D6">
            <v>56172733</v>
          </cell>
          <cell r="E6">
            <v>13882786.170000002</v>
          </cell>
          <cell r="F6">
            <v>70055519.17</v>
          </cell>
          <cell r="G6">
            <v>59335566.72</v>
          </cell>
          <cell r="H6">
            <v>57844986.64</v>
          </cell>
          <cell r="I6">
            <v>12210532.530000001</v>
          </cell>
          <cell r="J6">
            <v>53261155.88</v>
          </cell>
          <cell r="K6">
            <v>4583830.759999998</v>
          </cell>
        </row>
        <row r="7">
          <cell r="D7">
            <v>4232609</v>
          </cell>
          <cell r="E7">
            <v>0</v>
          </cell>
          <cell r="F7">
            <v>4232609</v>
          </cell>
          <cell r="G7">
            <v>3571648.42</v>
          </cell>
          <cell r="H7">
            <v>3571648.42</v>
          </cell>
          <cell r="I7">
            <v>660960.5800000001</v>
          </cell>
          <cell r="J7">
            <v>3568556.4</v>
          </cell>
          <cell r="K7">
            <v>3092.0200000000186</v>
          </cell>
        </row>
        <row r="8">
          <cell r="D8">
            <v>3971727</v>
          </cell>
          <cell r="E8">
            <v>11649424.69</v>
          </cell>
          <cell r="F8">
            <v>15621151.69</v>
          </cell>
          <cell r="G8">
            <v>9720301.58</v>
          </cell>
          <cell r="H8">
            <v>8237859.25</v>
          </cell>
          <cell r="I8">
            <v>7383292.4399999995</v>
          </cell>
          <cell r="J8">
            <v>8026889.82</v>
          </cell>
          <cell r="K8">
            <v>210969.4299999997</v>
          </cell>
        </row>
        <row r="10">
          <cell r="D10">
            <v>53060268</v>
          </cell>
          <cell r="E10">
            <v>92184903.07</v>
          </cell>
          <cell r="F10">
            <v>145245171.07</v>
          </cell>
          <cell r="G10">
            <v>72664918.96</v>
          </cell>
          <cell r="H10">
            <v>65775932.48</v>
          </cell>
          <cell r="I10">
            <v>79469238.59</v>
          </cell>
          <cell r="J10">
            <v>62330285.24</v>
          </cell>
          <cell r="K10">
            <v>3445647.2399999946</v>
          </cell>
        </row>
        <row r="11">
          <cell r="D11">
            <v>4520759</v>
          </cell>
          <cell r="E11">
            <v>1795550.4100000001</v>
          </cell>
          <cell r="F11">
            <v>6316309.41</v>
          </cell>
          <cell r="G11">
            <v>2441266.3</v>
          </cell>
          <cell r="H11">
            <v>2441266.3</v>
          </cell>
          <cell r="I11">
            <v>3875043.1100000003</v>
          </cell>
          <cell r="J11">
            <v>2005507.3</v>
          </cell>
          <cell r="K11">
            <v>435758.99999999977</v>
          </cell>
        </row>
        <row r="12">
          <cell r="D12">
            <v>0</v>
          </cell>
          <cell r="E12">
            <v>0</v>
          </cell>
          <cell r="F12">
            <v>0</v>
          </cell>
          <cell r="G12">
            <v>0</v>
          </cell>
          <cell r="H12">
            <v>0</v>
          </cell>
          <cell r="I12">
            <v>0</v>
          </cell>
          <cell r="J12">
            <v>0</v>
          </cell>
          <cell r="K12">
            <v>0</v>
          </cell>
        </row>
        <row r="13">
          <cell r="D13">
            <v>1656619</v>
          </cell>
          <cell r="E13">
            <v>0</v>
          </cell>
          <cell r="F13">
            <v>1656619</v>
          </cell>
          <cell r="G13">
            <v>1656597.17</v>
          </cell>
          <cell r="H13">
            <v>1656597.17</v>
          </cell>
          <cell r="I13">
            <v>21.830000000074506</v>
          </cell>
          <cell r="J13">
            <v>1656597.17</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79848582</v>
          </cell>
          <cell r="E22">
            <v>8593066.88</v>
          </cell>
          <cell r="F22">
            <v>88441648.88</v>
          </cell>
          <cell r="G22">
            <v>85892812.82</v>
          </cell>
          <cell r="H22">
            <v>69315841.91</v>
          </cell>
          <cell r="I22">
            <v>0</v>
          </cell>
          <cell r="J22">
            <v>16576970.909999996</v>
          </cell>
        </row>
        <row r="23">
          <cell r="D23">
            <v>236936786</v>
          </cell>
          <cell r="E23">
            <v>11196835.58</v>
          </cell>
          <cell r="F23">
            <v>248133621.58</v>
          </cell>
          <cell r="G23">
            <v>248582335.66</v>
          </cell>
          <cell r="H23">
            <v>176047505.52</v>
          </cell>
          <cell r="I23">
            <v>0</v>
          </cell>
          <cell r="J23">
            <v>72534830.13999999</v>
          </cell>
        </row>
        <row r="24">
          <cell r="D24">
            <v>1011000</v>
          </cell>
          <cell r="E24">
            <v>311841.53</v>
          </cell>
          <cell r="F24">
            <v>1322841.53</v>
          </cell>
          <cell r="G24">
            <v>1096169.68</v>
          </cell>
          <cell r="H24">
            <v>958109.74</v>
          </cell>
          <cell r="I24">
            <v>0</v>
          </cell>
          <cell r="J24">
            <v>138059.93999999994</v>
          </cell>
        </row>
        <row r="25">
          <cell r="D25">
            <v>0</v>
          </cell>
          <cell r="E25">
            <v>0</v>
          </cell>
          <cell r="F25">
            <v>0</v>
          </cell>
          <cell r="G25">
            <v>115.7</v>
          </cell>
          <cell r="H25">
            <v>115.7</v>
          </cell>
          <cell r="I25">
            <v>0</v>
          </cell>
          <cell r="J25">
            <v>0</v>
          </cell>
        </row>
        <row r="26">
          <cell r="D26">
            <v>24947619</v>
          </cell>
          <cell r="E26">
            <v>9968602.15</v>
          </cell>
          <cell r="F26">
            <v>34916221.15</v>
          </cell>
          <cell r="G26">
            <v>36536511.94</v>
          </cell>
          <cell r="H26">
            <v>18372404.21</v>
          </cell>
          <cell r="I26">
            <v>0</v>
          </cell>
          <cell r="J26">
            <v>18164107.729999997</v>
          </cell>
        </row>
        <row r="27">
          <cell r="D27">
            <v>0</v>
          </cell>
          <cell r="E27">
            <v>90003161.73</v>
          </cell>
          <cell r="F27">
            <v>90003161.73</v>
          </cell>
          <cell r="G27">
            <v>0</v>
          </cell>
          <cell r="H27">
            <v>0</v>
          </cell>
          <cell r="I27">
            <v>0</v>
          </cell>
          <cell r="J27">
            <v>0</v>
          </cell>
        </row>
        <row r="28">
          <cell r="D28">
            <v>0</v>
          </cell>
          <cell r="E28">
            <v>7253565.91</v>
          </cell>
          <cell r="F28">
            <v>7253565.91</v>
          </cell>
          <cell r="G28">
            <v>7787042.07</v>
          </cell>
          <cell r="H28">
            <v>7787042.07</v>
          </cell>
          <cell r="I28">
            <v>0</v>
          </cell>
          <cell r="J28">
            <v>0</v>
          </cell>
        </row>
      </sheetData>
      <sheetData sheetId="4">
        <row r="5">
          <cell r="D5">
            <v>0</v>
          </cell>
          <cell r="E5">
            <v>0</v>
          </cell>
        </row>
        <row r="6">
          <cell r="D6">
            <v>0</v>
          </cell>
          <cell r="E6">
            <v>0</v>
          </cell>
        </row>
        <row r="8">
          <cell r="D8">
            <v>7787042.07</v>
          </cell>
          <cell r="E8">
            <v>1656597.17</v>
          </cell>
        </row>
        <row r="10">
          <cell r="F10">
            <v>5699252.26</v>
          </cell>
        </row>
        <row r="11">
          <cell r="F11">
            <v>22228924.87</v>
          </cell>
        </row>
        <row r="12">
          <cell r="F12">
            <v>17441067.43</v>
          </cell>
        </row>
      </sheetData>
      <sheetData sheetId="5">
        <row r="3">
          <cell r="D3">
            <v>114758682.05</v>
          </cell>
        </row>
        <row r="4">
          <cell r="D4">
            <v>107413968.72</v>
          </cell>
        </row>
        <row r="5">
          <cell r="D5">
            <v>4875797.63</v>
          </cell>
        </row>
        <row r="6">
          <cell r="D6">
            <v>3997197.5</v>
          </cell>
        </row>
        <row r="7">
          <cell r="D7">
            <v>0</v>
          </cell>
        </row>
        <row r="8">
          <cell r="D8">
            <v>476237.16</v>
          </cell>
        </row>
        <row r="9">
          <cell r="D9">
            <v>1052044.64</v>
          </cell>
        </row>
        <row r="10">
          <cell r="D10">
            <v>24009791.34</v>
          </cell>
        </row>
        <row r="11">
          <cell r="D11">
            <v>14546548.07</v>
          </cell>
        </row>
        <row r="12">
          <cell r="D12">
            <v>210</v>
          </cell>
        </row>
        <row r="13">
          <cell r="D13">
            <v>9612999.83</v>
          </cell>
        </row>
        <row r="14">
          <cell r="D14">
            <v>0</v>
          </cell>
        </row>
        <row r="15">
          <cell r="D15">
            <v>149966.56</v>
          </cell>
        </row>
        <row r="16">
          <cell r="D16">
            <v>5951684.22</v>
          </cell>
        </row>
        <row r="17">
          <cell r="D17">
            <v>50542422.54</v>
          </cell>
        </row>
        <row r="18">
          <cell r="D18">
            <v>46158152.39</v>
          </cell>
        </row>
        <row r="19">
          <cell r="D19">
            <v>96700574.92999999</v>
          </cell>
        </row>
        <row r="23">
          <cell r="D23">
            <v>471435568.78999996</v>
          </cell>
        </row>
        <row r="24">
          <cell r="D24">
            <v>272481019.15</v>
          </cell>
        </row>
        <row r="25">
          <cell r="D25">
            <v>80724035.3</v>
          </cell>
        </row>
        <row r="26">
          <cell r="D26">
            <v>118230514.34</v>
          </cell>
        </row>
        <row r="27">
          <cell r="D27">
            <v>0</v>
          </cell>
        </row>
        <row r="28">
          <cell r="D28">
            <v>480185829.87</v>
          </cell>
        </row>
        <row r="29">
          <cell r="D29">
            <v>343979868.94</v>
          </cell>
        </row>
        <row r="30">
          <cell r="D30">
            <v>17154810.21</v>
          </cell>
        </row>
        <row r="31">
          <cell r="D31">
            <v>119051150.72</v>
          </cell>
        </row>
        <row r="32">
          <cell r="D32">
            <v>0</v>
          </cell>
        </row>
        <row r="33">
          <cell r="D33">
            <v>-8750261.080000043</v>
          </cell>
        </row>
        <row r="34">
          <cell r="D34">
            <v>14701945.3</v>
          </cell>
        </row>
        <row r="35">
          <cell r="D35">
            <v>5951684.219999958</v>
          </cell>
        </row>
      </sheetData>
      <sheetData sheetId="6">
        <row r="5">
          <cell r="D5">
            <v>5636291.01000002</v>
          </cell>
          <cell r="E5">
            <v>-14464.06</v>
          </cell>
          <cell r="F5">
            <v>5621826.950000021</v>
          </cell>
          <cell r="G5">
            <v>5621826.950000021</v>
          </cell>
          <cell r="H5">
            <v>0</v>
          </cell>
        </row>
        <row r="6">
          <cell r="D6">
            <v>4899614.879999995</v>
          </cell>
          <cell r="E6">
            <v>-3749.09</v>
          </cell>
          <cell r="F6">
            <v>4895865.789999995</v>
          </cell>
          <cell r="G6">
            <v>4895865.789999995</v>
          </cell>
          <cell r="H6">
            <v>0</v>
          </cell>
        </row>
        <row r="7">
          <cell r="D7">
            <v>0</v>
          </cell>
          <cell r="E7">
            <v>0</v>
          </cell>
          <cell r="F7">
            <v>0</v>
          </cell>
          <cell r="G7">
            <v>0</v>
          </cell>
          <cell r="H7">
            <v>0</v>
          </cell>
        </row>
        <row r="8">
          <cell r="D8">
            <v>1728145</v>
          </cell>
          <cell r="E8">
            <v>0</v>
          </cell>
          <cell r="F8">
            <v>1728145</v>
          </cell>
          <cell r="G8">
            <v>1728145</v>
          </cell>
          <cell r="H8">
            <v>0</v>
          </cell>
        </row>
        <row r="9">
          <cell r="D9">
            <v>3931502.8100000024</v>
          </cell>
          <cell r="E9">
            <v>-12693.67</v>
          </cell>
          <cell r="F9">
            <v>3918809.1400000025</v>
          </cell>
          <cell r="G9">
            <v>3918599.14</v>
          </cell>
          <cell r="H9">
            <v>210.0000000023283</v>
          </cell>
        </row>
        <row r="10">
          <cell r="D10">
            <v>990373.3300000001</v>
          </cell>
          <cell r="E10">
            <v>0</v>
          </cell>
          <cell r="F10">
            <v>990373.3300000001</v>
          </cell>
          <cell r="G10">
            <v>990373.3300000001</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17618589.990000002</v>
          </cell>
          <cell r="E21">
            <v>0</v>
          </cell>
          <cell r="F21">
            <v>842499.72</v>
          </cell>
          <cell r="G21">
            <v>0</v>
          </cell>
          <cell r="H21">
            <v>16776090.270000001</v>
          </cell>
          <cell r="I21">
            <v>14286961.500000002</v>
          </cell>
          <cell r="J21">
            <v>0</v>
          </cell>
          <cell r="K21">
            <v>0</v>
          </cell>
          <cell r="L21">
            <v>2489128.7699999996</v>
          </cell>
        </row>
        <row r="22">
          <cell r="D22">
            <v>52793483.619999975</v>
          </cell>
          <cell r="E22">
            <v>0</v>
          </cell>
          <cell r="F22">
            <v>10974.04</v>
          </cell>
          <cell r="G22">
            <v>0</v>
          </cell>
          <cell r="H22">
            <v>52782509.579999976</v>
          </cell>
          <cell r="I22">
            <v>52264076.78</v>
          </cell>
          <cell r="J22">
            <v>0</v>
          </cell>
          <cell r="K22">
            <v>0</v>
          </cell>
          <cell r="L22">
            <v>518432.79999997467</v>
          </cell>
        </row>
        <row r="23">
          <cell r="D23">
            <v>363038.42</v>
          </cell>
          <cell r="E23">
            <v>0</v>
          </cell>
          <cell r="F23">
            <v>154055.42</v>
          </cell>
          <cell r="G23">
            <v>0</v>
          </cell>
          <cell r="H23">
            <v>208982.99999999997</v>
          </cell>
          <cell r="I23">
            <v>143410.65</v>
          </cell>
          <cell r="J23">
            <v>0</v>
          </cell>
          <cell r="K23">
            <v>0</v>
          </cell>
          <cell r="L23">
            <v>65572.34999999998</v>
          </cell>
        </row>
        <row r="24">
          <cell r="D24">
            <v>50591.770000000004</v>
          </cell>
          <cell r="E24">
            <v>0</v>
          </cell>
          <cell r="F24">
            <v>0</v>
          </cell>
          <cell r="G24">
            <v>0</v>
          </cell>
          <cell r="H24">
            <v>50591.770000000004</v>
          </cell>
          <cell r="I24">
            <v>0</v>
          </cell>
          <cell r="J24">
            <v>0</v>
          </cell>
          <cell r="K24">
            <v>0</v>
          </cell>
          <cell r="L24">
            <v>50591.770000000004</v>
          </cell>
        </row>
        <row r="25">
          <cell r="D25">
            <v>17202065.340000004</v>
          </cell>
          <cell r="E25">
            <v>0</v>
          </cell>
          <cell r="F25">
            <v>1461567.4</v>
          </cell>
          <cell r="G25">
            <v>0</v>
          </cell>
          <cell r="H25">
            <v>15740497.940000003</v>
          </cell>
          <cell r="I25">
            <v>13988426</v>
          </cell>
          <cell r="J25">
            <v>0</v>
          </cell>
          <cell r="K25">
            <v>0</v>
          </cell>
          <cell r="L25">
            <v>1752071.9400000032</v>
          </cell>
        </row>
        <row r="26">
          <cell r="D26">
            <v>0</v>
          </cell>
          <cell r="E26">
            <v>0</v>
          </cell>
          <cell r="F26">
            <v>0</v>
          </cell>
          <cell r="G26">
            <v>0</v>
          </cell>
          <cell r="H26">
            <v>0</v>
          </cell>
          <cell r="I26">
            <v>0</v>
          </cell>
          <cell r="J26">
            <v>0</v>
          </cell>
          <cell r="K26">
            <v>0</v>
          </cell>
          <cell r="L26">
            <v>0</v>
          </cell>
        </row>
        <row r="27">
          <cell r="D27">
            <v>118670.5</v>
          </cell>
          <cell r="E27">
            <v>0</v>
          </cell>
          <cell r="F27">
            <v>77510.13</v>
          </cell>
          <cell r="G27">
            <v>0</v>
          </cell>
          <cell r="H27">
            <v>41160.369999999995</v>
          </cell>
          <cell r="I27">
            <v>41160.37</v>
          </cell>
          <cell r="J27">
            <v>0</v>
          </cell>
          <cell r="K27">
            <v>0</v>
          </cell>
          <cell r="L27">
            <v>-7.275957614183426E-12</v>
          </cell>
        </row>
      </sheetData>
      <sheetData sheetId="7"/>
      <sheetData sheetId="8">
        <row r="6">
          <cell r="D6">
            <v>5322</v>
          </cell>
        </row>
        <row r="10">
          <cell r="H10">
            <v>0</v>
          </cell>
        </row>
        <row r="11">
          <cell r="H11">
            <v>0</v>
          </cell>
        </row>
        <row r="18">
          <cell r="H18">
            <v>0</v>
          </cell>
        </row>
        <row r="30">
          <cell r="H30">
            <v>-14.82</v>
          </cell>
        </row>
        <row r="31">
          <cell r="H31">
            <v>34</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770857082.4999999</v>
          </cell>
          <cell r="L3">
            <v>657495303.41</v>
          </cell>
        </row>
        <row r="4">
          <cell r="D4">
            <v>0</v>
          </cell>
          <cell r="L4">
            <v>665550420.31</v>
          </cell>
        </row>
        <row r="5">
          <cell r="D5">
            <v>0</v>
          </cell>
          <cell r="L5">
            <v>664913847.53</v>
          </cell>
        </row>
        <row r="6">
          <cell r="D6">
            <v>0</v>
          </cell>
          <cell r="L6">
            <v>0</v>
          </cell>
        </row>
        <row r="7">
          <cell r="D7">
            <v>0</v>
          </cell>
          <cell r="L7">
            <v>636572.78</v>
          </cell>
        </row>
        <row r="8">
          <cell r="D8">
            <v>0</v>
          </cell>
          <cell r="L8">
            <v>0</v>
          </cell>
        </row>
        <row r="9">
          <cell r="D9">
            <v>0</v>
          </cell>
          <cell r="L9">
            <v>0</v>
          </cell>
        </row>
        <row r="10">
          <cell r="D10">
            <v>1298788.0500000007</v>
          </cell>
          <cell r="L10">
            <v>0</v>
          </cell>
        </row>
        <row r="11">
          <cell r="D11">
            <v>0</v>
          </cell>
          <cell r="L11">
            <v>0</v>
          </cell>
        </row>
        <row r="12">
          <cell r="D12">
            <v>0</v>
          </cell>
          <cell r="L12">
            <v>0</v>
          </cell>
        </row>
        <row r="13">
          <cell r="D13">
            <v>16428610.47</v>
          </cell>
          <cell r="L13">
            <v>0</v>
          </cell>
        </row>
        <row r="14">
          <cell r="D14">
            <v>0</v>
          </cell>
          <cell r="L14">
            <v>0</v>
          </cell>
        </row>
        <row r="15">
          <cell r="D15">
            <v>0</v>
          </cell>
          <cell r="L15">
            <v>-8055116.9</v>
          </cell>
        </row>
        <row r="16">
          <cell r="D16">
            <v>-15129822.42</v>
          </cell>
          <cell r="L16">
            <v>0</v>
          </cell>
        </row>
        <row r="17">
          <cell r="D17">
            <v>0</v>
          </cell>
          <cell r="L17">
            <v>21737860.61</v>
          </cell>
        </row>
        <row r="18">
          <cell r="D18">
            <v>635539966.4</v>
          </cell>
          <cell r="L18">
            <v>112757020.06</v>
          </cell>
        </row>
        <row r="19">
          <cell r="D19">
            <v>755800135.7</v>
          </cell>
          <cell r="L19">
            <v>54091089.39</v>
          </cell>
        </row>
        <row r="20">
          <cell r="D20">
            <v>41925898.69</v>
          </cell>
          <cell r="L20">
            <v>54091089.39</v>
          </cell>
        </row>
        <row r="21">
          <cell r="D21">
            <v>60290424.21</v>
          </cell>
          <cell r="L21">
            <v>0</v>
          </cell>
        </row>
        <row r="22">
          <cell r="D22">
            <v>320410778.65</v>
          </cell>
          <cell r="L22">
            <v>0</v>
          </cell>
        </row>
        <row r="23">
          <cell r="D23">
            <v>-542887270.85</v>
          </cell>
          <cell r="L23">
            <v>0</v>
          </cell>
        </row>
        <row r="24">
          <cell r="D24">
            <v>0</v>
          </cell>
          <cell r="L24">
            <v>58665930.67</v>
          </cell>
        </row>
        <row r="25">
          <cell r="D25">
            <v>236798.41</v>
          </cell>
          <cell r="L25">
            <v>0</v>
          </cell>
        </row>
        <row r="26">
          <cell r="D26">
            <v>236798.41</v>
          </cell>
          <cell r="L26">
            <v>58665930.67</v>
          </cell>
        </row>
        <row r="27">
          <cell r="D27">
            <v>0</v>
          </cell>
          <cell r="L27">
            <v>0</v>
          </cell>
        </row>
        <row r="28">
          <cell r="D28">
            <v>0</v>
          </cell>
          <cell r="L28">
            <v>0</v>
          </cell>
        </row>
        <row r="29">
          <cell r="D29">
            <v>0</v>
          </cell>
          <cell r="L29">
            <v>0</v>
          </cell>
        </row>
        <row r="30">
          <cell r="D30">
            <v>133781529.64</v>
          </cell>
        </row>
        <row r="31">
          <cell r="D31">
            <v>0</v>
          </cell>
          <cell r="L31">
            <v>81770168.23</v>
          </cell>
        </row>
        <row r="32">
          <cell r="D32">
            <v>102903269.81000002</v>
          </cell>
          <cell r="L32">
            <v>148750.5</v>
          </cell>
        </row>
        <row r="33">
          <cell r="D33">
            <v>404450.72</v>
          </cell>
          <cell r="L33">
            <v>0</v>
          </cell>
        </row>
        <row r="34">
          <cell r="D34">
            <v>0</v>
          </cell>
          <cell r="L34">
            <v>0</v>
          </cell>
        </row>
        <row r="35">
          <cell r="D35">
            <v>0</v>
          </cell>
          <cell r="L35">
            <v>148750.5</v>
          </cell>
        </row>
        <row r="36">
          <cell r="D36">
            <v>0</v>
          </cell>
          <cell r="L36">
            <v>0</v>
          </cell>
        </row>
        <row r="37">
          <cell r="D37">
            <v>404450.72</v>
          </cell>
          <cell r="L37">
            <v>4038.16</v>
          </cell>
        </row>
        <row r="38">
          <cell r="D38">
            <v>0</v>
          </cell>
          <cell r="L38">
            <v>0</v>
          </cell>
        </row>
        <row r="39">
          <cell r="D39">
            <v>0</v>
          </cell>
          <cell r="L39">
            <v>4038.16</v>
          </cell>
        </row>
        <row r="40">
          <cell r="D40">
            <v>72560103.57000001</v>
          </cell>
          <cell r="L40">
            <v>25819021.450000003</v>
          </cell>
        </row>
        <row r="41">
          <cell r="D41">
            <v>46314238.56</v>
          </cell>
          <cell r="L41">
            <v>8596692.53</v>
          </cell>
        </row>
        <row r="42">
          <cell r="D42">
            <v>25929485.26</v>
          </cell>
          <cell r="L42">
            <v>7004224.29</v>
          </cell>
        </row>
        <row r="43">
          <cell r="D43">
            <v>0</v>
          </cell>
          <cell r="L43">
            <v>0</v>
          </cell>
        </row>
        <row r="44">
          <cell r="D44">
            <v>2338460.14</v>
          </cell>
          <cell r="L44">
            <v>6060195.99</v>
          </cell>
        </row>
        <row r="45">
          <cell r="D45">
            <v>4614.85</v>
          </cell>
          <cell r="L45">
            <v>4129531.95</v>
          </cell>
        </row>
        <row r="46">
          <cell r="D46">
            <v>-2026695.24</v>
          </cell>
          <cell r="L46">
            <v>28376.69</v>
          </cell>
        </row>
        <row r="47">
          <cell r="D47">
            <v>7218.76</v>
          </cell>
          <cell r="L47">
            <v>55798358.12</v>
          </cell>
        </row>
        <row r="48">
          <cell r="D48">
            <v>0</v>
          </cell>
          <cell r="L48">
            <v>0</v>
          </cell>
        </row>
        <row r="49">
          <cell r="D49">
            <v>0</v>
          </cell>
          <cell r="L49">
            <v>0</v>
          </cell>
        </row>
        <row r="50">
          <cell r="D50">
            <v>7218.76</v>
          </cell>
          <cell r="L50">
            <v>873760352.31</v>
          </cell>
        </row>
        <row r="51">
          <cell r="D51">
            <v>0</v>
          </cell>
        </row>
        <row r="52">
          <cell r="D52">
            <v>29931496.76</v>
          </cell>
        </row>
        <row r="53">
          <cell r="D53">
            <v>0</v>
          </cell>
        </row>
        <row r="54">
          <cell r="D54">
            <v>873760352.31</v>
          </cell>
        </row>
      </sheetData>
      <sheetData sheetId="2">
        <row r="4">
          <cell r="D4">
            <v>0</v>
          </cell>
          <cell r="L4">
            <v>58014708.78</v>
          </cell>
        </row>
        <row r="5">
          <cell r="D5">
            <v>0</v>
          </cell>
        </row>
        <row r="8">
          <cell r="L8">
            <v>0</v>
          </cell>
        </row>
        <row r="10">
          <cell r="D10">
            <v>207019810.5</v>
          </cell>
          <cell r="L10">
            <v>0</v>
          </cell>
        </row>
        <row r="11">
          <cell r="D11">
            <v>180601630</v>
          </cell>
          <cell r="L11">
            <v>952901.43</v>
          </cell>
        </row>
        <row r="12">
          <cell r="D12">
            <v>26418180.5</v>
          </cell>
          <cell r="L12">
            <v>0</v>
          </cell>
        </row>
        <row r="13">
          <cell r="D13">
            <v>2423823.97</v>
          </cell>
          <cell r="L13">
            <v>6383631.5</v>
          </cell>
        </row>
        <row r="14">
          <cell r="D14">
            <v>30899133.66</v>
          </cell>
          <cell r="L14">
            <v>3156449.56</v>
          </cell>
        </row>
        <row r="15">
          <cell r="D15">
            <v>113431.55</v>
          </cell>
          <cell r="L15">
            <v>3227181.94</v>
          </cell>
        </row>
        <row r="16">
          <cell r="L16">
            <v>0</v>
          </cell>
        </row>
        <row r="17">
          <cell r="L17">
            <v>0</v>
          </cell>
        </row>
        <row r="18">
          <cell r="D18">
            <v>57552426.83</v>
          </cell>
          <cell r="L18">
            <v>2718.51</v>
          </cell>
        </row>
        <row r="19">
          <cell r="D19">
            <v>58959147.89</v>
          </cell>
        </row>
        <row r="20">
          <cell r="D20">
            <v>-1406721.06</v>
          </cell>
        </row>
        <row r="21">
          <cell r="D21">
            <v>0</v>
          </cell>
          <cell r="L21">
            <v>0</v>
          </cell>
        </row>
        <row r="22">
          <cell r="D22">
            <v>3848728.85</v>
          </cell>
        </row>
        <row r="23">
          <cell r="L23">
            <v>214647625.84</v>
          </cell>
        </row>
        <row r="24">
          <cell r="L24">
            <v>0</v>
          </cell>
        </row>
        <row r="25">
          <cell r="D25">
            <v>0</v>
          </cell>
          <cell r="L25">
            <v>24697856.75</v>
          </cell>
        </row>
        <row r="26">
          <cell r="D26">
            <v>58697.88</v>
          </cell>
          <cell r="L26">
            <v>3000</v>
          </cell>
        </row>
        <row r="27">
          <cell r="L27">
            <v>0</v>
          </cell>
        </row>
        <row r="28">
          <cell r="D28">
            <v>9895770.5</v>
          </cell>
          <cell r="L28">
            <v>0</v>
          </cell>
        </row>
        <row r="29">
          <cell r="D29">
            <v>0</v>
          </cell>
          <cell r="L29">
            <v>0</v>
          </cell>
        </row>
        <row r="30">
          <cell r="D30">
            <v>0</v>
          </cell>
          <cell r="L30">
            <v>0</v>
          </cell>
        </row>
        <row r="31">
          <cell r="D31">
            <v>5629.91</v>
          </cell>
          <cell r="L31">
            <v>0</v>
          </cell>
        </row>
        <row r="32">
          <cell r="D32">
            <v>940106.06</v>
          </cell>
        </row>
        <row r="33">
          <cell r="D33">
            <v>14145.15</v>
          </cell>
        </row>
        <row r="34">
          <cell r="D34">
            <v>0</v>
          </cell>
        </row>
        <row r="35">
          <cell r="D35">
            <v>286082.21</v>
          </cell>
        </row>
        <row r="36">
          <cell r="D36">
            <v>639878.7</v>
          </cell>
        </row>
      </sheetData>
      <sheetData sheetId="3">
        <row r="5">
          <cell r="D5">
            <v>178254693.43</v>
          </cell>
          <cell r="E5">
            <v>415096.72</v>
          </cell>
          <cell r="F5">
            <v>178669790.15</v>
          </cell>
          <cell r="G5">
            <v>176795787.97</v>
          </cell>
          <cell r="H5">
            <v>176795787.97</v>
          </cell>
          <cell r="I5">
            <v>1874002.1800000072</v>
          </cell>
          <cell r="J5">
            <v>171407036.85</v>
          </cell>
          <cell r="K5">
            <v>5388751.120000005</v>
          </cell>
        </row>
        <row r="6">
          <cell r="D6">
            <v>42579161.42</v>
          </cell>
          <cell r="E6">
            <v>1160681.18</v>
          </cell>
          <cell r="F6">
            <v>43739842.6</v>
          </cell>
          <cell r="G6">
            <v>40043937.17</v>
          </cell>
          <cell r="H6">
            <v>37681689.59</v>
          </cell>
          <cell r="I6">
            <v>6058153.009999998</v>
          </cell>
          <cell r="J6">
            <v>37501431.01</v>
          </cell>
          <cell r="K6">
            <v>180258.58000000566</v>
          </cell>
        </row>
        <row r="7">
          <cell r="D7">
            <v>4070011.9</v>
          </cell>
          <cell r="E7">
            <v>212966.07</v>
          </cell>
          <cell r="F7">
            <v>4282977.97</v>
          </cell>
          <cell r="G7">
            <v>3992654.68</v>
          </cell>
          <cell r="H7">
            <v>3992654.68</v>
          </cell>
          <cell r="I7">
            <v>290323.2899999996</v>
          </cell>
          <cell r="J7">
            <v>3992654.68</v>
          </cell>
          <cell r="K7">
            <v>0</v>
          </cell>
        </row>
        <row r="8">
          <cell r="D8">
            <v>4904743.02</v>
          </cell>
          <cell r="E8">
            <v>6221593.66</v>
          </cell>
          <cell r="F8">
            <v>11126336.68</v>
          </cell>
          <cell r="G8">
            <v>7630792.36</v>
          </cell>
          <cell r="H8">
            <v>6883808.92</v>
          </cell>
          <cell r="I8">
            <v>4242527.76</v>
          </cell>
          <cell r="J8">
            <v>6875174.2</v>
          </cell>
          <cell r="K8">
            <v>8634.71999999974</v>
          </cell>
        </row>
        <row r="10">
          <cell r="D10">
            <v>76412873.52</v>
          </cell>
          <cell r="E10">
            <v>43381545.47</v>
          </cell>
          <cell r="F10">
            <v>119794418.99</v>
          </cell>
          <cell r="G10">
            <v>77803205.32</v>
          </cell>
          <cell r="H10">
            <v>75995500.39</v>
          </cell>
          <cell r="I10">
            <v>43798918.599999994</v>
          </cell>
          <cell r="J10">
            <v>72977135.43</v>
          </cell>
          <cell r="K10">
            <v>3018364.9599999934</v>
          </cell>
        </row>
        <row r="11">
          <cell r="D11">
            <v>0</v>
          </cell>
          <cell r="E11">
            <v>0</v>
          </cell>
          <cell r="F11">
            <v>0</v>
          </cell>
          <cell r="G11">
            <v>0</v>
          </cell>
          <cell r="H11">
            <v>0</v>
          </cell>
          <cell r="I11">
            <v>0</v>
          </cell>
          <cell r="J11">
            <v>0</v>
          </cell>
          <cell r="K11">
            <v>0</v>
          </cell>
        </row>
        <row r="12">
          <cell r="D12">
            <v>0</v>
          </cell>
          <cell r="E12">
            <v>1848</v>
          </cell>
          <cell r="F12">
            <v>1848</v>
          </cell>
          <cell r="G12">
            <v>1840</v>
          </cell>
          <cell r="H12">
            <v>1840</v>
          </cell>
          <cell r="I12">
            <v>8</v>
          </cell>
          <cell r="J12">
            <v>1840</v>
          </cell>
          <cell r="K12">
            <v>0</v>
          </cell>
        </row>
        <row r="13">
          <cell r="D13">
            <v>3069727.01</v>
          </cell>
          <cell r="E13">
            <v>2025984.84</v>
          </cell>
          <cell r="F13">
            <v>5095711.85</v>
          </cell>
          <cell r="G13">
            <v>5095711.85</v>
          </cell>
          <cell r="H13">
            <v>5095711.85</v>
          </cell>
          <cell r="I13">
            <v>0</v>
          </cell>
          <cell r="J13">
            <v>5095711.85</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70675073.74</v>
          </cell>
          <cell r="E22">
            <v>1291464.37</v>
          </cell>
          <cell r="F22">
            <v>71966538.11</v>
          </cell>
          <cell r="G22">
            <v>68242485.42</v>
          </cell>
          <cell r="H22">
            <v>60920882.99</v>
          </cell>
          <cell r="I22">
            <v>0</v>
          </cell>
          <cell r="J22">
            <v>7321602.43</v>
          </cell>
        </row>
        <row r="23">
          <cell r="D23">
            <v>211523706.55</v>
          </cell>
          <cell r="E23">
            <v>2857758.1</v>
          </cell>
          <cell r="F23">
            <v>214381464.65</v>
          </cell>
          <cell r="G23">
            <v>215746882.68</v>
          </cell>
          <cell r="H23">
            <v>180881148.28</v>
          </cell>
          <cell r="I23">
            <v>0</v>
          </cell>
          <cell r="J23">
            <v>34865734.400000006</v>
          </cell>
        </row>
        <row r="24">
          <cell r="D24">
            <v>1855950</v>
          </cell>
          <cell r="E24">
            <v>339175.26</v>
          </cell>
          <cell r="F24">
            <v>2195125.26</v>
          </cell>
          <cell r="G24">
            <v>1284086.43</v>
          </cell>
          <cell r="H24">
            <v>943706.1</v>
          </cell>
          <cell r="I24">
            <v>0</v>
          </cell>
          <cell r="J24">
            <v>340380.32999999996</v>
          </cell>
        </row>
        <row r="25">
          <cell r="D25">
            <v>0</v>
          </cell>
          <cell r="E25">
            <v>0</v>
          </cell>
          <cell r="F25">
            <v>0</v>
          </cell>
          <cell r="G25">
            <v>14523.48</v>
          </cell>
          <cell r="H25">
            <v>8771.6</v>
          </cell>
          <cell r="I25">
            <v>0</v>
          </cell>
          <cell r="J25">
            <v>5751.879999999999</v>
          </cell>
        </row>
        <row r="26">
          <cell r="D26">
            <v>25236480.01</v>
          </cell>
          <cell r="E26">
            <v>995709.03</v>
          </cell>
          <cell r="F26">
            <v>26232189.040000003</v>
          </cell>
          <cell r="G26">
            <v>26379312.67</v>
          </cell>
          <cell r="H26">
            <v>25454659.25</v>
          </cell>
          <cell r="I26">
            <v>0</v>
          </cell>
          <cell r="J26">
            <v>924653.4200000018</v>
          </cell>
        </row>
        <row r="27">
          <cell r="D27">
            <v>0</v>
          </cell>
          <cell r="E27">
            <v>47935608.98</v>
          </cell>
          <cell r="F27">
            <v>47935608.98</v>
          </cell>
          <cell r="G27">
            <v>100226.67</v>
          </cell>
          <cell r="H27">
            <v>100226.67</v>
          </cell>
          <cell r="I27">
            <v>0</v>
          </cell>
          <cell r="J27">
            <v>0</v>
          </cell>
        </row>
        <row r="28">
          <cell r="D28">
            <v>0</v>
          </cell>
          <cell r="E28">
            <v>0</v>
          </cell>
          <cell r="F28">
            <v>0</v>
          </cell>
          <cell r="G28">
            <v>5949596.28</v>
          </cell>
          <cell r="H28">
            <v>5949596.28</v>
          </cell>
          <cell r="I28">
            <v>0</v>
          </cell>
          <cell r="J28">
            <v>0</v>
          </cell>
        </row>
      </sheetData>
      <sheetData sheetId="4">
        <row r="5">
          <cell r="D5">
            <v>100226.67</v>
          </cell>
          <cell r="E5">
            <v>1840</v>
          </cell>
        </row>
        <row r="6">
          <cell r="D6">
            <v>0</v>
          </cell>
          <cell r="E6">
            <v>0</v>
          </cell>
        </row>
        <row r="8">
          <cell r="D8">
            <v>5949596.28</v>
          </cell>
          <cell r="E8">
            <v>5095711.85</v>
          </cell>
        </row>
        <row r="10">
          <cell r="F10">
            <v>0</v>
          </cell>
        </row>
        <row r="11">
          <cell r="F11">
            <v>21922015.07</v>
          </cell>
        </row>
        <row r="12">
          <cell r="F12">
            <v>11331213.02</v>
          </cell>
        </row>
      </sheetData>
      <sheetData sheetId="5">
        <row r="3">
          <cell r="D3">
            <v>46559368.57</v>
          </cell>
        </row>
        <row r="4">
          <cell r="D4">
            <v>43458122.46</v>
          </cell>
        </row>
        <row r="5">
          <cell r="D5">
            <v>2856116.1</v>
          </cell>
        </row>
        <row r="6">
          <cell r="D6">
            <v>3366110.33</v>
          </cell>
        </row>
        <row r="7">
          <cell r="D7">
            <v>0</v>
          </cell>
        </row>
        <row r="8">
          <cell r="D8">
            <v>2026695.24</v>
          </cell>
        </row>
        <row r="9">
          <cell r="D9">
            <v>1094285.08</v>
          </cell>
        </row>
        <row r="10">
          <cell r="D10">
            <v>17413930.88</v>
          </cell>
        </row>
        <row r="11">
          <cell r="D11">
            <v>8596009.38</v>
          </cell>
        </row>
        <row r="12">
          <cell r="D12">
            <v>683.15</v>
          </cell>
        </row>
        <row r="13">
          <cell r="D13">
            <v>8821853.2</v>
          </cell>
        </row>
        <row r="14">
          <cell r="D14">
            <v>0</v>
          </cell>
        </row>
        <row r="15">
          <cell r="D15">
            <v>4614.85</v>
          </cell>
        </row>
        <row r="16">
          <cell r="D16">
            <v>29931496.76</v>
          </cell>
        </row>
        <row r="17">
          <cell r="D17">
            <v>38660051.59</v>
          </cell>
        </row>
        <row r="18">
          <cell r="D18">
            <v>20416882.86</v>
          </cell>
        </row>
        <row r="19">
          <cell r="D19">
            <v>59076934.45</v>
          </cell>
        </row>
        <row r="23">
          <cell r="D23">
            <v>391027219.56</v>
          </cell>
        </row>
        <row r="24">
          <cell r="D24">
            <v>274258991.17</v>
          </cell>
        </row>
        <row r="25">
          <cell r="D25">
            <v>44047305.32</v>
          </cell>
        </row>
        <row r="26">
          <cell r="D26">
            <v>72720923.07</v>
          </cell>
        </row>
        <row r="27">
          <cell r="D27">
            <v>0</v>
          </cell>
        </row>
        <row r="28">
          <cell r="D28">
            <v>385643514.2</v>
          </cell>
        </row>
        <row r="29">
          <cell r="D29">
            <v>297850984.02</v>
          </cell>
        </row>
        <row r="30">
          <cell r="D30">
            <v>9767152.43</v>
          </cell>
        </row>
        <row r="31">
          <cell r="D31">
            <v>78025377.75</v>
          </cell>
        </row>
        <row r="32">
          <cell r="D32">
            <v>0</v>
          </cell>
        </row>
        <row r="33">
          <cell r="D33">
            <v>5383705.360000014</v>
          </cell>
        </row>
        <row r="34">
          <cell r="D34">
            <v>24547791.4</v>
          </cell>
        </row>
        <row r="35">
          <cell r="D35">
            <v>29931496.760000013</v>
          </cell>
        </row>
      </sheetData>
      <sheetData sheetId="6">
        <row r="5">
          <cell r="D5">
            <v>5203200.12</v>
          </cell>
          <cell r="E5">
            <v>0</v>
          </cell>
          <cell r="F5">
            <v>5203200.12</v>
          </cell>
          <cell r="G5">
            <v>5203200.12</v>
          </cell>
          <cell r="H5">
            <v>0</v>
          </cell>
        </row>
        <row r="6">
          <cell r="D6">
            <v>2048347.38</v>
          </cell>
          <cell r="E6">
            <v>0</v>
          </cell>
          <cell r="F6">
            <v>2048347.38</v>
          </cell>
          <cell r="G6">
            <v>2047664.23</v>
          </cell>
          <cell r="H6">
            <v>683.1499999999069</v>
          </cell>
        </row>
        <row r="7">
          <cell r="D7">
            <v>0</v>
          </cell>
          <cell r="E7">
            <v>0</v>
          </cell>
          <cell r="F7">
            <v>0</v>
          </cell>
          <cell r="G7">
            <v>0</v>
          </cell>
          <cell r="H7">
            <v>0</v>
          </cell>
        </row>
        <row r="8">
          <cell r="D8">
            <v>9350.52</v>
          </cell>
          <cell r="E8">
            <v>0</v>
          </cell>
          <cell r="F8">
            <v>9350.52</v>
          </cell>
          <cell r="G8">
            <v>9350.52</v>
          </cell>
          <cell r="H8">
            <v>0</v>
          </cell>
        </row>
        <row r="9">
          <cell r="D9">
            <v>2506937.56</v>
          </cell>
          <cell r="E9">
            <v>0</v>
          </cell>
          <cell r="F9">
            <v>2506937.56</v>
          </cell>
          <cell r="G9">
            <v>2506937.56</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8368506.46</v>
          </cell>
          <cell r="E21">
            <v>0</v>
          </cell>
          <cell r="F21">
            <v>2417.41</v>
          </cell>
          <cell r="G21">
            <v>0</v>
          </cell>
          <cell r="H21">
            <v>8366089.05</v>
          </cell>
          <cell r="I21">
            <v>6744307.36</v>
          </cell>
          <cell r="J21">
            <v>0</v>
          </cell>
          <cell r="K21">
            <v>0</v>
          </cell>
          <cell r="L21">
            <v>1621781.6899999995</v>
          </cell>
        </row>
        <row r="22">
          <cell r="D22">
            <v>35801037.26</v>
          </cell>
          <cell r="E22">
            <v>0</v>
          </cell>
          <cell r="F22">
            <v>0</v>
          </cell>
          <cell r="G22">
            <v>0</v>
          </cell>
          <cell r="H22">
            <v>35801037.26</v>
          </cell>
          <cell r="I22">
            <v>35791037.26</v>
          </cell>
          <cell r="J22">
            <v>0</v>
          </cell>
          <cell r="K22">
            <v>0</v>
          </cell>
          <cell r="L22">
            <v>10000</v>
          </cell>
        </row>
        <row r="23">
          <cell r="D23">
            <v>1090638.78</v>
          </cell>
          <cell r="E23">
            <v>0</v>
          </cell>
          <cell r="F23">
            <v>0</v>
          </cell>
          <cell r="G23">
            <v>0</v>
          </cell>
          <cell r="H23">
            <v>1090638.78</v>
          </cell>
          <cell r="I23">
            <v>415650.89</v>
          </cell>
          <cell r="J23">
            <v>0</v>
          </cell>
          <cell r="K23">
            <v>0</v>
          </cell>
          <cell r="L23">
            <v>674987.89</v>
          </cell>
        </row>
        <row r="24">
          <cell r="D24">
            <v>4196.3</v>
          </cell>
          <cell r="E24">
            <v>0</v>
          </cell>
          <cell r="F24">
            <v>0</v>
          </cell>
          <cell r="G24">
            <v>0</v>
          </cell>
          <cell r="H24">
            <v>4196.3</v>
          </cell>
          <cell r="I24">
            <v>4196.3</v>
          </cell>
          <cell r="J24">
            <v>0</v>
          </cell>
          <cell r="K24">
            <v>0</v>
          </cell>
          <cell r="L24">
            <v>0</v>
          </cell>
        </row>
        <row r="25">
          <cell r="D25">
            <v>1654395.83</v>
          </cell>
          <cell r="E25">
            <v>0</v>
          </cell>
          <cell r="F25">
            <v>12945.8</v>
          </cell>
          <cell r="G25">
            <v>0</v>
          </cell>
          <cell r="H25">
            <v>1641450.03</v>
          </cell>
          <cell r="I25">
            <v>1092113.51</v>
          </cell>
          <cell r="J25">
            <v>0</v>
          </cell>
          <cell r="K25">
            <v>0</v>
          </cell>
          <cell r="L25">
            <v>549336.52</v>
          </cell>
        </row>
        <row r="26">
          <cell r="D26">
            <v>0</v>
          </cell>
          <cell r="E26">
            <v>0</v>
          </cell>
          <cell r="F26">
            <v>0</v>
          </cell>
          <cell r="G26">
            <v>0</v>
          </cell>
          <cell r="H26">
            <v>0</v>
          </cell>
          <cell r="I26">
            <v>0</v>
          </cell>
          <cell r="J26">
            <v>0</v>
          </cell>
          <cell r="K26">
            <v>0</v>
          </cell>
          <cell r="L26">
            <v>0</v>
          </cell>
        </row>
        <row r="27">
          <cell r="D27">
            <v>10</v>
          </cell>
          <cell r="E27">
            <v>0</v>
          </cell>
          <cell r="F27">
            <v>0</v>
          </cell>
          <cell r="G27">
            <v>0</v>
          </cell>
          <cell r="H27">
            <v>10</v>
          </cell>
          <cell r="I27">
            <v>0</v>
          </cell>
          <cell r="J27">
            <v>0</v>
          </cell>
          <cell r="K27">
            <v>0</v>
          </cell>
          <cell r="L27">
            <v>10</v>
          </cell>
        </row>
      </sheetData>
      <sheetData sheetId="7"/>
      <sheetData sheetId="8">
        <row r="6">
          <cell r="D6">
            <v>5008</v>
          </cell>
        </row>
        <row r="10">
          <cell r="H10">
            <v>0</v>
          </cell>
        </row>
        <row r="11">
          <cell r="H11">
            <v>0</v>
          </cell>
        </row>
        <row r="18">
          <cell r="H18">
            <v>0</v>
          </cell>
        </row>
        <row r="30">
          <cell r="H30">
            <v>21.41</v>
          </cell>
        </row>
        <row r="31">
          <cell r="H31">
            <v>20.07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223191813.9</v>
          </cell>
          <cell r="L3">
            <v>217060211.94</v>
          </cell>
        </row>
        <row r="4">
          <cell r="D4">
            <v>0</v>
          </cell>
          <cell r="L4">
            <v>240179273.10999998</v>
          </cell>
        </row>
        <row r="5">
          <cell r="D5">
            <v>0</v>
          </cell>
          <cell r="L5">
            <v>240100126.56</v>
          </cell>
        </row>
        <row r="6">
          <cell r="D6">
            <v>0</v>
          </cell>
          <cell r="L6">
            <v>0</v>
          </cell>
        </row>
        <row r="7">
          <cell r="D7">
            <v>0</v>
          </cell>
          <cell r="L7">
            <v>1139820.17</v>
          </cell>
        </row>
        <row r="8">
          <cell r="D8">
            <v>0</v>
          </cell>
          <cell r="L8">
            <v>0</v>
          </cell>
        </row>
        <row r="9">
          <cell r="D9">
            <v>0</v>
          </cell>
          <cell r="L9">
            <v>-1060673.62</v>
          </cell>
        </row>
        <row r="10">
          <cell r="D10">
            <v>152268.9099999998</v>
          </cell>
          <cell r="L10">
            <v>0</v>
          </cell>
        </row>
        <row r="11">
          <cell r="D11">
            <v>0</v>
          </cell>
          <cell r="L11">
            <v>0</v>
          </cell>
        </row>
        <row r="12">
          <cell r="D12">
            <v>0</v>
          </cell>
          <cell r="L12">
            <v>0</v>
          </cell>
        </row>
        <row r="13">
          <cell r="D13">
            <v>2853146.15</v>
          </cell>
          <cell r="L13">
            <v>0</v>
          </cell>
        </row>
        <row r="14">
          <cell r="D14">
            <v>0</v>
          </cell>
          <cell r="L14">
            <v>0</v>
          </cell>
        </row>
        <row r="15">
          <cell r="D15">
            <v>0</v>
          </cell>
          <cell r="L15">
            <v>-23119061.17</v>
          </cell>
        </row>
        <row r="16">
          <cell r="D16">
            <v>-2701400.12</v>
          </cell>
          <cell r="L16">
            <v>0</v>
          </cell>
        </row>
        <row r="17">
          <cell r="D17">
            <v>522.88</v>
          </cell>
          <cell r="L17">
            <v>714054.82</v>
          </cell>
        </row>
        <row r="18">
          <cell r="D18">
            <v>195518487.03</v>
          </cell>
          <cell r="L18">
            <v>1137595.76</v>
          </cell>
        </row>
        <row r="19">
          <cell r="D19">
            <v>243243836.42</v>
          </cell>
          <cell r="L19">
            <v>0</v>
          </cell>
        </row>
        <row r="20">
          <cell r="D20">
            <v>47920429.41</v>
          </cell>
          <cell r="L20">
            <v>0</v>
          </cell>
        </row>
        <row r="21">
          <cell r="D21">
            <v>0</v>
          </cell>
          <cell r="L21">
            <v>0</v>
          </cell>
        </row>
        <row r="22">
          <cell r="D22">
            <v>119304083.43</v>
          </cell>
          <cell r="L22">
            <v>0</v>
          </cell>
        </row>
        <row r="23">
          <cell r="D23">
            <v>-214949862.23</v>
          </cell>
          <cell r="L23">
            <v>0</v>
          </cell>
        </row>
        <row r="24">
          <cell r="D24">
            <v>0</v>
          </cell>
          <cell r="L24">
            <v>1137595.76</v>
          </cell>
        </row>
        <row r="25">
          <cell r="D25">
            <v>27521057.96</v>
          </cell>
          <cell r="L25">
            <v>0</v>
          </cell>
        </row>
        <row r="26">
          <cell r="D26">
            <v>285030</v>
          </cell>
          <cell r="L26">
            <v>1132422.2</v>
          </cell>
        </row>
        <row r="27">
          <cell r="D27">
            <v>27223609.04</v>
          </cell>
          <cell r="L27">
            <v>0</v>
          </cell>
        </row>
        <row r="28">
          <cell r="D28">
            <v>12418.92</v>
          </cell>
          <cell r="L28">
            <v>5173.56</v>
          </cell>
        </row>
        <row r="29">
          <cell r="D29">
            <v>0</v>
          </cell>
          <cell r="L29">
            <v>0</v>
          </cell>
        </row>
        <row r="30">
          <cell r="D30">
            <v>0</v>
          </cell>
        </row>
        <row r="31">
          <cell r="D31">
            <v>113538.81</v>
          </cell>
          <cell r="L31">
            <v>111976205.94</v>
          </cell>
        </row>
        <row r="32">
          <cell r="D32">
            <v>107582715.75</v>
          </cell>
          <cell r="L32">
            <v>63106270.96</v>
          </cell>
        </row>
        <row r="33">
          <cell r="D33">
            <v>0</v>
          </cell>
          <cell r="L33">
            <v>63106270.96</v>
          </cell>
        </row>
        <row r="34">
          <cell r="D34">
            <v>0</v>
          </cell>
          <cell r="L34">
            <v>0</v>
          </cell>
        </row>
        <row r="35">
          <cell r="D35">
            <v>0</v>
          </cell>
          <cell r="L35">
            <v>0</v>
          </cell>
        </row>
        <row r="36">
          <cell r="D36">
            <v>0</v>
          </cell>
          <cell r="L36">
            <v>0</v>
          </cell>
        </row>
        <row r="37">
          <cell r="D37">
            <v>0</v>
          </cell>
          <cell r="L37">
            <v>147510.63</v>
          </cell>
        </row>
        <row r="38">
          <cell r="D38">
            <v>0</v>
          </cell>
          <cell r="L38">
            <v>0</v>
          </cell>
        </row>
        <row r="39">
          <cell r="D39">
            <v>0</v>
          </cell>
          <cell r="L39">
            <v>147510.63</v>
          </cell>
        </row>
        <row r="40">
          <cell r="D40">
            <v>73907060.08</v>
          </cell>
          <cell r="L40">
            <v>13104076.95</v>
          </cell>
        </row>
        <row r="41">
          <cell r="D41">
            <v>42699152.46</v>
          </cell>
          <cell r="L41">
            <v>4913545.5</v>
          </cell>
        </row>
        <row r="42">
          <cell r="D42">
            <v>30460797.61</v>
          </cell>
          <cell r="L42">
            <v>1461909.1</v>
          </cell>
        </row>
        <row r="43">
          <cell r="D43">
            <v>0</v>
          </cell>
          <cell r="L43">
            <v>0</v>
          </cell>
        </row>
        <row r="44">
          <cell r="D44">
            <v>747110.01</v>
          </cell>
          <cell r="L44">
            <v>4529192.96</v>
          </cell>
        </row>
        <row r="45">
          <cell r="D45">
            <v>0</v>
          </cell>
          <cell r="L45">
            <v>2199429.39</v>
          </cell>
        </row>
        <row r="46">
          <cell r="D46">
            <v>0</v>
          </cell>
          <cell r="L46">
            <v>0</v>
          </cell>
        </row>
        <row r="47">
          <cell r="D47">
            <v>0</v>
          </cell>
          <cell r="L47">
            <v>35618347.4</v>
          </cell>
        </row>
        <row r="48">
          <cell r="D48">
            <v>0</v>
          </cell>
          <cell r="L48">
            <v>0</v>
          </cell>
        </row>
        <row r="49">
          <cell r="D49">
            <v>0</v>
          </cell>
          <cell r="L49">
            <v>0</v>
          </cell>
        </row>
        <row r="50">
          <cell r="D50">
            <v>0</v>
          </cell>
          <cell r="L50">
            <v>330888068.46</v>
          </cell>
        </row>
        <row r="51">
          <cell r="D51">
            <v>0</v>
          </cell>
        </row>
        <row r="52">
          <cell r="D52">
            <v>33675655.67</v>
          </cell>
        </row>
        <row r="53">
          <cell r="D53">
            <v>0</v>
          </cell>
        </row>
        <row r="54">
          <cell r="D54">
            <v>330888068.46000004</v>
          </cell>
        </row>
      </sheetData>
      <sheetData sheetId="2">
        <row r="4">
          <cell r="D4">
            <v>0</v>
          </cell>
          <cell r="L4">
            <v>331723.56</v>
          </cell>
        </row>
        <row r="5">
          <cell r="D5">
            <v>0</v>
          </cell>
        </row>
        <row r="8">
          <cell r="L8">
            <v>0</v>
          </cell>
        </row>
        <row r="10">
          <cell r="D10">
            <v>128188074.86</v>
          </cell>
          <cell r="L10">
            <v>31753472.87</v>
          </cell>
        </row>
        <row r="11">
          <cell r="D11">
            <v>111910383.33</v>
          </cell>
          <cell r="L11">
            <v>670586.77</v>
          </cell>
        </row>
        <row r="12">
          <cell r="D12">
            <v>16277691.53</v>
          </cell>
          <cell r="L12">
            <v>0</v>
          </cell>
        </row>
        <row r="13">
          <cell r="D13">
            <v>0</v>
          </cell>
          <cell r="L13">
            <v>1724004.06</v>
          </cell>
        </row>
        <row r="14">
          <cell r="D14">
            <v>9453416.39</v>
          </cell>
          <cell r="L14">
            <v>1430821.57</v>
          </cell>
        </row>
        <row r="15">
          <cell r="D15">
            <v>0</v>
          </cell>
          <cell r="L15">
            <v>293182.49</v>
          </cell>
        </row>
        <row r="16">
          <cell r="L16">
            <v>0</v>
          </cell>
        </row>
        <row r="17">
          <cell r="L17">
            <v>0</v>
          </cell>
        </row>
        <row r="18">
          <cell r="D18">
            <v>34352523.029999994</v>
          </cell>
          <cell r="L18">
            <v>153873.28</v>
          </cell>
        </row>
        <row r="19">
          <cell r="D19">
            <v>34263988.16</v>
          </cell>
        </row>
        <row r="20">
          <cell r="D20">
            <v>88534.87</v>
          </cell>
        </row>
        <row r="21">
          <cell r="D21">
            <v>0</v>
          </cell>
          <cell r="L21">
            <v>0</v>
          </cell>
        </row>
        <row r="22">
          <cell r="D22">
            <v>4279499.67</v>
          </cell>
        </row>
        <row r="23">
          <cell r="L23">
            <v>0</v>
          </cell>
        </row>
        <row r="24">
          <cell r="L24">
            <v>130852740.4</v>
          </cell>
        </row>
        <row r="25">
          <cell r="D25">
            <v>0</v>
          </cell>
          <cell r="L25">
            <v>0</v>
          </cell>
        </row>
        <row r="26">
          <cell r="D26">
            <v>0</v>
          </cell>
          <cell r="L26">
            <v>21240708.35</v>
          </cell>
        </row>
        <row r="27">
          <cell r="L27">
            <v>552408.38</v>
          </cell>
        </row>
        <row r="28">
          <cell r="D28">
            <v>5719825</v>
          </cell>
          <cell r="L28">
            <v>0</v>
          </cell>
        </row>
        <row r="29">
          <cell r="D29">
            <v>0</v>
          </cell>
          <cell r="L29">
            <v>0</v>
          </cell>
        </row>
        <row r="30">
          <cell r="D30">
            <v>25435.75</v>
          </cell>
          <cell r="L30">
            <v>108422.47</v>
          </cell>
        </row>
        <row r="31">
          <cell r="D31">
            <v>0</v>
          </cell>
          <cell r="L31">
            <v>443985.91</v>
          </cell>
        </row>
        <row r="32">
          <cell r="D32">
            <v>28379804.14</v>
          </cell>
        </row>
        <row r="33">
          <cell r="D33">
            <v>0</v>
          </cell>
        </row>
        <row r="34">
          <cell r="D34">
            <v>0</v>
          </cell>
        </row>
        <row r="35">
          <cell r="D35">
            <v>27552016.18</v>
          </cell>
        </row>
        <row r="36">
          <cell r="D36">
            <v>827787.96</v>
          </cell>
        </row>
      </sheetData>
      <sheetData sheetId="3">
        <row r="5">
          <cell r="D5">
            <v>115587359.32</v>
          </cell>
          <cell r="E5">
            <v>4984066.04</v>
          </cell>
          <cell r="F5">
            <v>120571425.36</v>
          </cell>
          <cell r="G5">
            <v>0</v>
          </cell>
          <cell r="H5">
            <v>119212968.96</v>
          </cell>
          <cell r="I5">
            <v>1358456.400000006</v>
          </cell>
          <cell r="J5">
            <v>117131426.45</v>
          </cell>
          <cell r="K5">
            <v>2081542.5099999905</v>
          </cell>
        </row>
        <row r="6">
          <cell r="D6">
            <v>30563271.19</v>
          </cell>
          <cell r="E6">
            <v>15007674.18</v>
          </cell>
          <cell r="F6">
            <v>45570945.370000005</v>
          </cell>
          <cell r="G6">
            <v>0</v>
          </cell>
          <cell r="H6">
            <v>29514233.83</v>
          </cell>
          <cell r="I6">
            <v>16056711.540000007</v>
          </cell>
          <cell r="J6">
            <v>27052144.03</v>
          </cell>
          <cell r="K6">
            <v>2462089.799999997</v>
          </cell>
        </row>
        <row r="7">
          <cell r="D7">
            <v>4451908</v>
          </cell>
          <cell r="E7">
            <v>0</v>
          </cell>
          <cell r="F7">
            <v>4451908</v>
          </cell>
          <cell r="G7">
            <v>0</v>
          </cell>
          <cell r="H7">
            <v>4165960.41</v>
          </cell>
          <cell r="I7">
            <v>285947.58999999985</v>
          </cell>
          <cell r="J7">
            <v>4165960.41</v>
          </cell>
          <cell r="K7">
            <v>0</v>
          </cell>
        </row>
        <row r="8">
          <cell r="D8">
            <v>5385141.75</v>
          </cell>
          <cell r="E8">
            <v>2277906.18</v>
          </cell>
          <cell r="F8">
            <v>7663047.93</v>
          </cell>
          <cell r="G8">
            <v>0</v>
          </cell>
          <cell r="H8">
            <v>5214256.83</v>
          </cell>
          <cell r="I8">
            <v>2448791.0999999996</v>
          </cell>
          <cell r="J8">
            <v>5163671.71</v>
          </cell>
          <cell r="K8">
            <v>50585.12000000011</v>
          </cell>
        </row>
        <row r="10">
          <cell r="D10">
            <v>30060129.31</v>
          </cell>
          <cell r="E10">
            <v>43789277.34</v>
          </cell>
          <cell r="F10">
            <v>73849406.65</v>
          </cell>
          <cell r="G10">
            <v>0</v>
          </cell>
          <cell r="H10">
            <v>27238895.57</v>
          </cell>
          <cell r="I10">
            <v>46610511.080000006</v>
          </cell>
          <cell r="J10">
            <v>26919567.5</v>
          </cell>
          <cell r="K10">
            <v>319328.0700000003</v>
          </cell>
        </row>
        <row r="11">
          <cell r="D11">
            <v>157596.48</v>
          </cell>
          <cell r="E11">
            <v>0</v>
          </cell>
          <cell r="F11">
            <v>157596.48</v>
          </cell>
          <cell r="G11">
            <v>0</v>
          </cell>
          <cell r="H11">
            <v>157596.48</v>
          </cell>
          <cell r="I11">
            <v>0</v>
          </cell>
          <cell r="J11">
            <v>157596.48</v>
          </cell>
          <cell r="K11">
            <v>0</v>
          </cell>
        </row>
        <row r="12">
          <cell r="D12">
            <v>0</v>
          </cell>
          <cell r="E12">
            <v>0</v>
          </cell>
          <cell r="F12">
            <v>0</v>
          </cell>
          <cell r="G12">
            <v>0</v>
          </cell>
          <cell r="H12">
            <v>0</v>
          </cell>
          <cell r="I12">
            <v>0</v>
          </cell>
          <cell r="J12">
            <v>0</v>
          </cell>
          <cell r="K12">
            <v>0</v>
          </cell>
        </row>
        <row r="13">
          <cell r="D13">
            <v>15349.87</v>
          </cell>
          <cell r="E13">
            <v>0</v>
          </cell>
          <cell r="F13">
            <v>15349.87</v>
          </cell>
          <cell r="G13">
            <v>0</v>
          </cell>
          <cell r="H13">
            <v>15349.87</v>
          </cell>
          <cell r="I13">
            <v>0</v>
          </cell>
          <cell r="J13">
            <v>15349.87</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37292500</v>
          </cell>
          <cell r="E22">
            <v>4419171.63</v>
          </cell>
          <cell r="F22">
            <v>41711671.63</v>
          </cell>
          <cell r="G22">
            <v>41711671.63</v>
          </cell>
          <cell r="H22">
            <v>36015838.9</v>
          </cell>
          <cell r="I22">
            <v>15279471.53</v>
          </cell>
          <cell r="J22">
            <v>5695832.730000004</v>
          </cell>
        </row>
        <row r="23">
          <cell r="D23">
            <v>135063824.26</v>
          </cell>
          <cell r="E23">
            <v>1143358.88</v>
          </cell>
          <cell r="F23">
            <v>136207183.14</v>
          </cell>
          <cell r="G23">
            <v>136207183.14</v>
          </cell>
          <cell r="H23">
            <v>107830506.95</v>
          </cell>
          <cell r="I23">
            <v>0</v>
          </cell>
          <cell r="J23">
            <v>28376676.189999983</v>
          </cell>
        </row>
        <row r="24">
          <cell r="D24">
            <v>700000</v>
          </cell>
          <cell r="E24">
            <v>232394.28</v>
          </cell>
          <cell r="F24">
            <v>932394.28</v>
          </cell>
          <cell r="G24">
            <v>932394.28</v>
          </cell>
          <cell r="H24">
            <v>819610.87</v>
          </cell>
          <cell r="I24">
            <v>0</v>
          </cell>
          <cell r="J24">
            <v>112783.41000000003</v>
          </cell>
        </row>
        <row r="25">
          <cell r="D25">
            <v>0</v>
          </cell>
          <cell r="E25">
            <v>35143.09</v>
          </cell>
          <cell r="F25">
            <v>35143.09</v>
          </cell>
          <cell r="G25">
            <v>35143.09</v>
          </cell>
          <cell r="H25">
            <v>35143.09</v>
          </cell>
          <cell r="I25">
            <v>90.7</v>
          </cell>
          <cell r="J25">
            <v>0</v>
          </cell>
        </row>
        <row r="26">
          <cell r="D26">
            <v>13164431.66</v>
          </cell>
          <cell r="E26">
            <v>4180487.61</v>
          </cell>
          <cell r="F26">
            <v>17344919.27</v>
          </cell>
          <cell r="G26">
            <v>17344919.27</v>
          </cell>
          <cell r="H26">
            <v>9431124.58</v>
          </cell>
          <cell r="I26">
            <v>0</v>
          </cell>
          <cell r="J26">
            <v>7913794.6899999995</v>
          </cell>
        </row>
        <row r="27">
          <cell r="D27">
            <v>0</v>
          </cell>
          <cell r="E27">
            <v>56048368.25</v>
          </cell>
          <cell r="F27">
            <v>56048368.25</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0</v>
          </cell>
        </row>
        <row r="6">
          <cell r="D6">
            <v>0</v>
          </cell>
          <cell r="E6">
            <v>0</v>
          </cell>
        </row>
        <row r="8">
          <cell r="D8">
            <v>0</v>
          </cell>
          <cell r="E8">
            <v>15349.87</v>
          </cell>
        </row>
        <row r="10">
          <cell r="F10">
            <v>0</v>
          </cell>
        </row>
        <row r="11">
          <cell r="F11">
            <v>7017198.36</v>
          </cell>
        </row>
        <row r="12">
          <cell r="F12">
            <v>3700962.98</v>
          </cell>
        </row>
      </sheetData>
      <sheetData sheetId="5">
        <row r="3">
          <cell r="D3">
            <v>43929378.82</v>
          </cell>
        </row>
        <row r="4">
          <cell r="D4">
            <v>42099087.02</v>
          </cell>
        </row>
        <row r="5">
          <cell r="D5">
            <v>600065.44</v>
          </cell>
        </row>
        <row r="6">
          <cell r="D6">
            <v>3550257.35</v>
          </cell>
        </row>
        <row r="7">
          <cell r="D7">
            <v>0</v>
          </cell>
        </row>
        <row r="8">
          <cell r="D8">
            <v>120601.6</v>
          </cell>
        </row>
        <row r="9">
          <cell r="D9">
            <v>2199429.39</v>
          </cell>
        </row>
        <row r="10">
          <cell r="D10">
            <v>10061710.26</v>
          </cell>
        </row>
        <row r="11">
          <cell r="D11">
            <v>4913545.5</v>
          </cell>
        </row>
        <row r="12">
          <cell r="D12">
            <v>0</v>
          </cell>
        </row>
        <row r="13">
          <cell r="D13">
            <v>5148164.76</v>
          </cell>
        </row>
        <row r="14">
          <cell r="D14">
            <v>0</v>
          </cell>
        </row>
        <row r="15">
          <cell r="D15">
            <v>0</v>
          </cell>
        </row>
        <row r="16">
          <cell r="D16">
            <v>33675655.96</v>
          </cell>
        </row>
        <row r="17">
          <cell r="D17">
            <v>13880293.23</v>
          </cell>
        </row>
        <row r="18">
          <cell r="D18">
            <v>53663031.28</v>
          </cell>
        </row>
        <row r="19">
          <cell r="D19">
            <v>67543324.52000001</v>
          </cell>
        </row>
        <row r="23">
          <cell r="D23">
            <v>246246103.09000003</v>
          </cell>
        </row>
        <row r="24">
          <cell r="D24">
            <v>154132224.39000002</v>
          </cell>
        </row>
        <row r="25">
          <cell r="D25">
            <v>53131675.14</v>
          </cell>
        </row>
        <row r="26">
          <cell r="D26">
            <v>38982203.56</v>
          </cell>
        </row>
        <row r="27">
          <cell r="D27">
            <v>0</v>
          </cell>
        </row>
        <row r="28">
          <cell r="D28">
            <v>225171890.77</v>
          </cell>
        </row>
        <row r="29">
          <cell r="D29">
            <v>180605716.15</v>
          </cell>
        </row>
        <row r="30">
          <cell r="D30">
            <v>6803181.94</v>
          </cell>
        </row>
        <row r="31">
          <cell r="D31">
            <v>37762992.68</v>
          </cell>
        </row>
        <row r="32">
          <cell r="D32">
            <v>0</v>
          </cell>
        </row>
        <row r="33">
          <cell r="D33">
            <v>21074212.320000023</v>
          </cell>
        </row>
        <row r="34">
          <cell r="D34">
            <v>12601443.64</v>
          </cell>
        </row>
        <row r="35">
          <cell r="D35">
            <v>33675655.96000002</v>
          </cell>
        </row>
      </sheetData>
      <sheetData sheetId="6">
        <row r="5">
          <cell r="D5">
            <v>2011421.349999994</v>
          </cell>
          <cell r="E5">
            <v>0</v>
          </cell>
          <cell r="F5">
            <v>2011421.349999994</v>
          </cell>
          <cell r="G5">
            <v>2011421.349999994</v>
          </cell>
          <cell r="H5">
            <v>0</v>
          </cell>
        </row>
        <row r="6">
          <cell r="D6">
            <v>3432581.9399999976</v>
          </cell>
          <cell r="E6">
            <v>0</v>
          </cell>
          <cell r="F6">
            <v>3432581.9399999976</v>
          </cell>
          <cell r="G6">
            <v>3432581.9399999976</v>
          </cell>
          <cell r="H6">
            <v>0</v>
          </cell>
        </row>
        <row r="7">
          <cell r="D7">
            <v>0</v>
          </cell>
          <cell r="E7">
            <v>0</v>
          </cell>
          <cell r="F7">
            <v>0</v>
          </cell>
          <cell r="G7">
            <v>0</v>
          </cell>
          <cell r="H7">
            <v>0</v>
          </cell>
        </row>
        <row r="8">
          <cell r="D8">
            <v>50000</v>
          </cell>
          <cell r="E8">
            <v>0</v>
          </cell>
          <cell r="F8">
            <v>50000</v>
          </cell>
          <cell r="G8">
            <v>50000</v>
          </cell>
          <cell r="H8">
            <v>0</v>
          </cell>
        </row>
        <row r="9">
          <cell r="D9">
            <v>1309178.6499999985</v>
          </cell>
          <cell r="E9">
            <v>0</v>
          </cell>
          <cell r="F9">
            <v>1309178.6499999985</v>
          </cell>
          <cell r="G9">
            <v>1309178.6499999985</v>
          </cell>
          <cell r="H9">
            <v>0</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6848026.39</v>
          </cell>
          <cell r="E21">
            <v>0</v>
          </cell>
          <cell r="F21">
            <v>0</v>
          </cell>
          <cell r="G21">
            <v>0</v>
          </cell>
          <cell r="H21">
            <v>6848026.39</v>
          </cell>
          <cell r="I21">
            <v>5249101.32</v>
          </cell>
          <cell r="J21">
            <v>0</v>
          </cell>
          <cell r="K21">
            <v>1294758.91</v>
          </cell>
          <cell r="L21">
            <v>304166.15999999945</v>
          </cell>
        </row>
        <row r="22">
          <cell r="D22">
            <v>43089190.35</v>
          </cell>
          <cell r="E22">
            <v>0</v>
          </cell>
          <cell r="F22">
            <v>0</v>
          </cell>
          <cell r="G22">
            <v>0</v>
          </cell>
          <cell r="H22">
            <v>43089190.35</v>
          </cell>
          <cell r="I22">
            <v>43089190.35</v>
          </cell>
          <cell r="J22">
            <v>0</v>
          </cell>
          <cell r="K22">
            <v>0</v>
          </cell>
          <cell r="L22">
            <v>0</v>
          </cell>
        </row>
        <row r="23">
          <cell r="D23">
            <v>371392.86</v>
          </cell>
          <cell r="E23">
            <v>0</v>
          </cell>
          <cell r="F23">
            <v>0</v>
          </cell>
          <cell r="G23">
            <v>0</v>
          </cell>
          <cell r="H23">
            <v>371392.86</v>
          </cell>
          <cell r="I23">
            <v>114639.92</v>
          </cell>
          <cell r="J23">
            <v>0</v>
          </cell>
          <cell r="K23">
            <v>83035.26</v>
          </cell>
          <cell r="L23">
            <v>173717.68</v>
          </cell>
        </row>
        <row r="24">
          <cell r="D24">
            <v>0</v>
          </cell>
          <cell r="E24">
            <v>0</v>
          </cell>
          <cell r="F24">
            <v>0</v>
          </cell>
          <cell r="G24">
            <v>0</v>
          </cell>
          <cell r="H24">
            <v>0</v>
          </cell>
          <cell r="I24">
            <v>0</v>
          </cell>
          <cell r="J24">
            <v>0</v>
          </cell>
          <cell r="K24">
            <v>0</v>
          </cell>
          <cell r="L24">
            <v>0</v>
          </cell>
        </row>
        <row r="25">
          <cell r="D25">
            <v>4806925.15</v>
          </cell>
          <cell r="E25">
            <v>0</v>
          </cell>
          <cell r="F25">
            <v>0</v>
          </cell>
          <cell r="G25">
            <v>0</v>
          </cell>
          <cell r="H25">
            <v>4806925.15</v>
          </cell>
          <cell r="I25">
            <v>4678743.55</v>
          </cell>
          <cell r="J25">
            <v>0</v>
          </cell>
          <cell r="K25">
            <v>6000</v>
          </cell>
          <cell r="L25">
            <v>122181.60000000056</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3899</v>
          </cell>
        </row>
        <row r="10">
          <cell r="H10">
            <v>0</v>
          </cell>
        </row>
        <row r="11">
          <cell r="H11">
            <v>0</v>
          </cell>
        </row>
        <row r="18">
          <cell r="H18">
            <v>0</v>
          </cell>
        </row>
        <row r="30">
          <cell r="H30">
            <v>6.04</v>
          </cell>
        </row>
        <row r="31">
          <cell r="H31">
            <v>42.05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230866607.06999996</v>
          </cell>
          <cell r="L3">
            <v>239195228.76999998</v>
          </cell>
        </row>
        <row r="4">
          <cell r="D4">
            <v>0</v>
          </cell>
          <cell r="L4">
            <v>234335248.11999997</v>
          </cell>
        </row>
        <row r="5">
          <cell r="D5">
            <v>0</v>
          </cell>
          <cell r="L5">
            <v>231636811.17</v>
          </cell>
        </row>
        <row r="6">
          <cell r="D6">
            <v>0</v>
          </cell>
          <cell r="L6">
            <v>0</v>
          </cell>
        </row>
        <row r="7">
          <cell r="D7">
            <v>0</v>
          </cell>
          <cell r="L7">
            <v>2698436.95</v>
          </cell>
        </row>
        <row r="8">
          <cell r="D8">
            <v>0</v>
          </cell>
          <cell r="L8">
            <v>0</v>
          </cell>
        </row>
        <row r="9">
          <cell r="D9">
            <v>0</v>
          </cell>
          <cell r="L9">
            <v>0</v>
          </cell>
        </row>
        <row r="10">
          <cell r="D10">
            <v>556809.2300000004</v>
          </cell>
          <cell r="L10">
            <v>0</v>
          </cell>
        </row>
        <row r="11">
          <cell r="D11">
            <v>0</v>
          </cell>
          <cell r="L11">
            <v>0</v>
          </cell>
        </row>
        <row r="12">
          <cell r="D12">
            <v>0</v>
          </cell>
          <cell r="L12">
            <v>0</v>
          </cell>
        </row>
        <row r="13">
          <cell r="D13">
            <v>6234936.15</v>
          </cell>
          <cell r="L13">
            <v>0</v>
          </cell>
        </row>
        <row r="14">
          <cell r="D14">
            <v>0</v>
          </cell>
          <cell r="L14">
            <v>0</v>
          </cell>
        </row>
        <row r="15">
          <cell r="D15">
            <v>0</v>
          </cell>
          <cell r="L15">
            <v>4859980.65</v>
          </cell>
        </row>
        <row r="16">
          <cell r="D16">
            <v>-5678126.92</v>
          </cell>
          <cell r="L16">
            <v>4026310.98</v>
          </cell>
        </row>
        <row r="17">
          <cell r="D17">
            <v>0</v>
          </cell>
          <cell r="L17">
            <v>534791.05</v>
          </cell>
        </row>
        <row r="18">
          <cell r="D18">
            <v>192950797.08999997</v>
          </cell>
          <cell r="L18">
            <v>12803542.86</v>
          </cell>
        </row>
        <row r="19">
          <cell r="D19">
            <v>225324245.20999998</v>
          </cell>
          <cell r="L19">
            <v>0</v>
          </cell>
        </row>
        <row r="20">
          <cell r="D20">
            <v>55062531.93</v>
          </cell>
          <cell r="L20">
            <v>0</v>
          </cell>
        </row>
        <row r="21">
          <cell r="D21">
            <v>21716090.45</v>
          </cell>
          <cell r="L21">
            <v>0</v>
          </cell>
        </row>
        <row r="22">
          <cell r="D22">
            <v>59331445.31</v>
          </cell>
          <cell r="L22">
            <v>0</v>
          </cell>
        </row>
        <row r="23">
          <cell r="D23">
            <v>-168483515.81</v>
          </cell>
          <cell r="L23">
            <v>0</v>
          </cell>
        </row>
        <row r="24">
          <cell r="D24">
            <v>0</v>
          </cell>
          <cell r="L24">
            <v>12803542.86</v>
          </cell>
        </row>
        <row r="25">
          <cell r="D25">
            <v>37359000.75</v>
          </cell>
          <cell r="L25">
            <v>12803542.86</v>
          </cell>
        </row>
        <row r="26">
          <cell r="D26">
            <v>0</v>
          </cell>
          <cell r="L26">
            <v>0</v>
          </cell>
        </row>
        <row r="27">
          <cell r="D27">
            <v>37530303.2</v>
          </cell>
          <cell r="L27">
            <v>0</v>
          </cell>
        </row>
        <row r="28">
          <cell r="D28">
            <v>0</v>
          </cell>
          <cell r="L28">
            <v>0</v>
          </cell>
        </row>
        <row r="29">
          <cell r="D29">
            <v>-171302.45</v>
          </cell>
          <cell r="L29">
            <v>0</v>
          </cell>
        </row>
        <row r="30">
          <cell r="D30">
            <v>0</v>
          </cell>
        </row>
        <row r="31">
          <cell r="D31">
            <v>0</v>
          </cell>
          <cell r="L31">
            <v>67340804.07</v>
          </cell>
        </row>
        <row r="32">
          <cell r="D32">
            <v>93737556.42999999</v>
          </cell>
          <cell r="L32">
            <v>25917156.819999997</v>
          </cell>
        </row>
        <row r="33">
          <cell r="D33">
            <v>0</v>
          </cell>
          <cell r="L33">
            <v>25843520.49</v>
          </cell>
        </row>
        <row r="34">
          <cell r="D34">
            <v>0</v>
          </cell>
          <cell r="L34">
            <v>0</v>
          </cell>
        </row>
        <row r="35">
          <cell r="D35">
            <v>0</v>
          </cell>
          <cell r="L35">
            <v>73636.33</v>
          </cell>
        </row>
        <row r="36">
          <cell r="D36">
            <v>0</v>
          </cell>
          <cell r="L36">
            <v>0</v>
          </cell>
        </row>
        <row r="37">
          <cell r="D37">
            <v>0</v>
          </cell>
          <cell r="L37">
            <v>4277312.04</v>
          </cell>
        </row>
        <row r="38">
          <cell r="D38">
            <v>0</v>
          </cell>
          <cell r="L38">
            <v>3956104.26</v>
          </cell>
        </row>
        <row r="39">
          <cell r="D39">
            <v>0</v>
          </cell>
          <cell r="L39">
            <v>321207.78</v>
          </cell>
        </row>
        <row r="40">
          <cell r="D40">
            <v>43605927.62</v>
          </cell>
          <cell r="L40">
            <v>8312661.42</v>
          </cell>
        </row>
        <row r="41">
          <cell r="D41">
            <v>34092493.97</v>
          </cell>
          <cell r="L41">
            <v>5232516.54</v>
          </cell>
        </row>
        <row r="42">
          <cell r="D42">
            <v>10906590.97</v>
          </cell>
          <cell r="L42">
            <v>915175.68</v>
          </cell>
        </row>
        <row r="43">
          <cell r="D43">
            <v>0</v>
          </cell>
          <cell r="L43">
            <v>0</v>
          </cell>
        </row>
        <row r="44">
          <cell r="D44">
            <v>268186.77</v>
          </cell>
          <cell r="L44">
            <v>2008949.03</v>
          </cell>
        </row>
        <row r="45">
          <cell r="D45">
            <v>0</v>
          </cell>
          <cell r="L45">
            <v>0</v>
          </cell>
        </row>
        <row r="46">
          <cell r="D46">
            <v>-1661344.09</v>
          </cell>
          <cell r="L46">
            <v>156020.17</v>
          </cell>
        </row>
        <row r="47">
          <cell r="D47">
            <v>33847019.01</v>
          </cell>
          <cell r="L47">
            <v>28833673.79</v>
          </cell>
        </row>
        <row r="48">
          <cell r="D48">
            <v>0</v>
          </cell>
          <cell r="L48">
            <v>703485.77</v>
          </cell>
        </row>
        <row r="49">
          <cell r="D49">
            <v>33843019.01</v>
          </cell>
          <cell r="L49">
            <v>703485.77</v>
          </cell>
        </row>
        <row r="50">
          <cell r="D50">
            <v>4000</v>
          </cell>
          <cell r="L50">
            <v>324604163.49999994</v>
          </cell>
        </row>
        <row r="51">
          <cell r="D51">
            <v>0</v>
          </cell>
        </row>
        <row r="52">
          <cell r="D52">
            <v>16055020.47</v>
          </cell>
        </row>
        <row r="53">
          <cell r="D53">
            <v>229589.33</v>
          </cell>
        </row>
        <row r="54">
          <cell r="D54">
            <v>324604163.49999994</v>
          </cell>
        </row>
      </sheetData>
      <sheetData sheetId="2">
        <row r="4">
          <cell r="D4">
            <v>0</v>
          </cell>
          <cell r="L4">
            <v>5784362.15</v>
          </cell>
        </row>
        <row r="5">
          <cell r="D5">
            <v>0</v>
          </cell>
        </row>
        <row r="8">
          <cell r="L8">
            <v>0</v>
          </cell>
        </row>
        <row r="10">
          <cell r="D10">
            <v>65830479.97</v>
          </cell>
          <cell r="L10">
            <v>17365753.41</v>
          </cell>
        </row>
        <row r="11">
          <cell r="D11">
            <v>56760414.02</v>
          </cell>
          <cell r="L11">
            <v>406810.61</v>
          </cell>
        </row>
        <row r="12">
          <cell r="D12">
            <v>9070065.95</v>
          </cell>
          <cell r="L12">
            <v>66912.74</v>
          </cell>
        </row>
        <row r="13">
          <cell r="D13">
            <v>0</v>
          </cell>
          <cell r="L13">
            <v>346703.91</v>
          </cell>
        </row>
        <row r="14">
          <cell r="D14">
            <v>8184996.81</v>
          </cell>
          <cell r="L14">
            <v>346703.91</v>
          </cell>
        </row>
        <row r="15">
          <cell r="D15">
            <v>246504.14</v>
          </cell>
          <cell r="L15">
            <v>0</v>
          </cell>
        </row>
        <row r="16">
          <cell r="L16">
            <v>0</v>
          </cell>
        </row>
        <row r="17">
          <cell r="L17">
            <v>0</v>
          </cell>
        </row>
        <row r="18">
          <cell r="D18">
            <v>19479447.06</v>
          </cell>
          <cell r="L18">
            <v>29919.14</v>
          </cell>
        </row>
        <row r="19">
          <cell r="D19">
            <v>17556500.53</v>
          </cell>
        </row>
        <row r="20">
          <cell r="D20">
            <v>184107.06</v>
          </cell>
        </row>
        <row r="21">
          <cell r="D21">
            <v>1738839.47</v>
          </cell>
          <cell r="L21">
            <v>0</v>
          </cell>
        </row>
        <row r="22">
          <cell r="D22">
            <v>2512235.52</v>
          </cell>
        </row>
        <row r="23">
          <cell r="L23">
            <v>61300439.64</v>
          </cell>
        </row>
        <row r="24">
          <cell r="L24">
            <v>12640063.53</v>
          </cell>
        </row>
        <row r="25">
          <cell r="D25">
            <v>56300</v>
          </cell>
          <cell r="L25">
            <v>0</v>
          </cell>
        </row>
        <row r="26">
          <cell r="D26">
            <v>0</v>
          </cell>
          <cell r="L26">
            <v>7549986.06</v>
          </cell>
        </row>
        <row r="27">
          <cell r="L27">
            <v>51918.82</v>
          </cell>
        </row>
        <row r="28">
          <cell r="D28">
            <v>2228076.27</v>
          </cell>
          <cell r="L28">
            <v>35576.34</v>
          </cell>
        </row>
        <row r="29">
          <cell r="D29">
            <v>0</v>
          </cell>
          <cell r="L29">
            <v>0</v>
          </cell>
        </row>
        <row r="30">
          <cell r="D30">
            <v>10165.34</v>
          </cell>
          <cell r="L30">
            <v>183.08</v>
          </cell>
        </row>
        <row r="31">
          <cell r="D31">
            <v>0</v>
          </cell>
          <cell r="L31">
            <v>16159.4</v>
          </cell>
        </row>
        <row r="32">
          <cell r="D32">
            <v>2134684.25</v>
          </cell>
        </row>
        <row r="33">
          <cell r="D33">
            <v>6697.12</v>
          </cell>
        </row>
        <row r="34">
          <cell r="D34">
            <v>0</v>
          </cell>
        </row>
        <row r="35">
          <cell r="D35">
            <v>1352817.17</v>
          </cell>
        </row>
        <row r="36">
          <cell r="D36">
            <v>775169.96</v>
          </cell>
        </row>
      </sheetData>
      <sheetData sheetId="3">
        <row r="5">
          <cell r="D5">
            <v>63184484.03</v>
          </cell>
          <cell r="E5">
            <v>7919834.09</v>
          </cell>
          <cell r="F5">
            <v>71104318.12</v>
          </cell>
          <cell r="G5">
            <v>67587769.41</v>
          </cell>
          <cell r="H5">
            <v>67587769.41</v>
          </cell>
          <cell r="I5">
            <v>3516548.7100000083</v>
          </cell>
          <cell r="J5">
            <v>66755267.45</v>
          </cell>
          <cell r="K5">
            <v>832501.9599999934</v>
          </cell>
        </row>
        <row r="6">
          <cell r="D6">
            <v>18691475.94</v>
          </cell>
          <cell r="E6">
            <v>11721112.42</v>
          </cell>
          <cell r="F6">
            <v>30412588.36</v>
          </cell>
          <cell r="G6">
            <v>19918668.53</v>
          </cell>
          <cell r="H6">
            <v>19918668.53</v>
          </cell>
          <cell r="I6">
            <v>10493919.829999998</v>
          </cell>
          <cell r="J6">
            <v>17001474.2</v>
          </cell>
          <cell r="K6">
            <v>2917194.330000002</v>
          </cell>
        </row>
        <row r="7">
          <cell r="D7">
            <v>2547904.09</v>
          </cell>
          <cell r="E7">
            <v>631295.05</v>
          </cell>
          <cell r="F7">
            <v>3179199.1399999997</v>
          </cell>
          <cell r="G7">
            <v>2984185.54</v>
          </cell>
          <cell r="H7">
            <v>2984185.54</v>
          </cell>
          <cell r="I7">
            <v>195013.59999999963</v>
          </cell>
          <cell r="J7">
            <v>2984177.64</v>
          </cell>
          <cell r="K7">
            <v>7.899999999906868</v>
          </cell>
        </row>
        <row r="8">
          <cell r="D8">
            <v>1496491.75</v>
          </cell>
          <cell r="E8">
            <v>2204982.27</v>
          </cell>
          <cell r="F8">
            <v>3701474.02</v>
          </cell>
          <cell r="G8">
            <v>2283600.86</v>
          </cell>
          <cell r="H8">
            <v>2283600.86</v>
          </cell>
          <cell r="I8">
            <v>1417873.1600000001</v>
          </cell>
          <cell r="J8">
            <v>2021970.52</v>
          </cell>
          <cell r="K8">
            <v>261630.33999999985</v>
          </cell>
        </row>
        <row r="10">
          <cell r="D10">
            <v>8308635.44</v>
          </cell>
          <cell r="E10">
            <v>3504089.75</v>
          </cell>
          <cell r="F10">
            <v>11812725.190000001</v>
          </cell>
          <cell r="G10">
            <v>9506374.03</v>
          </cell>
          <cell r="H10">
            <v>9506374.03</v>
          </cell>
          <cell r="I10">
            <v>2306351.160000002</v>
          </cell>
          <cell r="J10">
            <v>8733153.43</v>
          </cell>
          <cell r="K10">
            <v>773220.5999999996</v>
          </cell>
        </row>
        <row r="11">
          <cell r="D11">
            <v>700</v>
          </cell>
          <cell r="E11">
            <v>25924.35</v>
          </cell>
          <cell r="F11">
            <v>26624.35</v>
          </cell>
          <cell r="G11">
            <v>10165.34</v>
          </cell>
          <cell r="H11">
            <v>10165.34</v>
          </cell>
          <cell r="I11">
            <v>16459.01</v>
          </cell>
          <cell r="J11">
            <v>8536.23</v>
          </cell>
          <cell r="K11">
            <v>1629.1100000000006</v>
          </cell>
        </row>
        <row r="12">
          <cell r="D12">
            <v>57813.66</v>
          </cell>
          <cell r="E12">
            <v>77500</v>
          </cell>
          <cell r="F12">
            <v>135313.66</v>
          </cell>
          <cell r="G12">
            <v>135300</v>
          </cell>
          <cell r="H12">
            <v>135300</v>
          </cell>
          <cell r="I12">
            <v>13.660000000003492</v>
          </cell>
          <cell r="J12">
            <v>135300</v>
          </cell>
          <cell r="K12">
            <v>0</v>
          </cell>
        </row>
        <row r="13">
          <cell r="D13">
            <v>3894495.09</v>
          </cell>
          <cell r="E13">
            <v>547913.84</v>
          </cell>
          <cell r="F13">
            <v>4442408.93</v>
          </cell>
          <cell r="G13">
            <v>4442405.36</v>
          </cell>
          <cell r="H13">
            <v>4442405.36</v>
          </cell>
          <cell r="I13">
            <v>3.5699999993667006</v>
          </cell>
          <cell r="J13">
            <v>4442405.36</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19890960.02</v>
          </cell>
          <cell r="E22">
            <v>3991054.15</v>
          </cell>
          <cell r="F22">
            <v>23882014.169999998</v>
          </cell>
          <cell r="G22">
            <v>22521482.15</v>
          </cell>
          <cell r="H22">
            <v>19665322.59</v>
          </cell>
          <cell r="I22">
            <v>0</v>
          </cell>
          <cell r="J22">
            <v>2856159.5599999987</v>
          </cell>
        </row>
        <row r="23">
          <cell r="D23">
            <v>68655056.8</v>
          </cell>
          <cell r="E23">
            <v>7918828.31</v>
          </cell>
          <cell r="F23">
            <v>76573885.11</v>
          </cell>
          <cell r="G23">
            <v>75252686.73</v>
          </cell>
          <cell r="H23">
            <v>51685724.9</v>
          </cell>
          <cell r="I23">
            <v>0</v>
          </cell>
          <cell r="J23">
            <v>23566961.830000006</v>
          </cell>
        </row>
        <row r="24">
          <cell r="D24">
            <v>384000</v>
          </cell>
          <cell r="E24">
            <v>800</v>
          </cell>
          <cell r="F24">
            <v>384800</v>
          </cell>
          <cell r="G24">
            <v>604238.89</v>
          </cell>
          <cell r="H24">
            <v>340759.25</v>
          </cell>
          <cell r="I24">
            <v>0</v>
          </cell>
          <cell r="J24">
            <v>263479.64</v>
          </cell>
        </row>
        <row r="25">
          <cell r="D25">
            <v>0</v>
          </cell>
          <cell r="E25">
            <v>350</v>
          </cell>
          <cell r="F25">
            <v>350</v>
          </cell>
          <cell r="G25">
            <v>0</v>
          </cell>
          <cell r="H25">
            <v>0</v>
          </cell>
          <cell r="I25">
            <v>0</v>
          </cell>
          <cell r="J25">
            <v>0</v>
          </cell>
        </row>
        <row r="26">
          <cell r="D26">
            <v>9251983.18</v>
          </cell>
          <cell r="E26">
            <v>1928065.67</v>
          </cell>
          <cell r="F26">
            <v>11180048.85</v>
          </cell>
          <cell r="G26">
            <v>10762187.08</v>
          </cell>
          <cell r="H26">
            <v>4279829.95</v>
          </cell>
          <cell r="I26">
            <v>0</v>
          </cell>
          <cell r="J26">
            <v>6482357.13</v>
          </cell>
        </row>
        <row r="27">
          <cell r="D27">
            <v>0</v>
          </cell>
          <cell r="E27">
            <v>12793553.64</v>
          </cell>
          <cell r="F27">
            <v>12793553.64</v>
          </cell>
          <cell r="G27">
            <v>51000</v>
          </cell>
          <cell r="H27">
            <v>51000</v>
          </cell>
          <cell r="I27">
            <v>0</v>
          </cell>
          <cell r="J27">
            <v>0</v>
          </cell>
        </row>
        <row r="28">
          <cell r="D28">
            <v>0</v>
          </cell>
          <cell r="E28">
            <v>0</v>
          </cell>
          <cell r="F28">
            <v>0</v>
          </cell>
          <cell r="G28">
            <v>-393825.36</v>
          </cell>
          <cell r="H28">
            <v>-393825.36</v>
          </cell>
          <cell r="I28">
            <v>0</v>
          </cell>
          <cell r="J28">
            <v>0</v>
          </cell>
        </row>
      </sheetData>
      <sheetData sheetId="4">
        <row r="5">
          <cell r="D5">
            <v>51000</v>
          </cell>
          <cell r="E5">
            <v>135300</v>
          </cell>
        </row>
        <row r="6">
          <cell r="D6">
            <v>0</v>
          </cell>
          <cell r="E6">
            <v>0</v>
          </cell>
        </row>
        <row r="8">
          <cell r="D8">
            <v>-393825.36</v>
          </cell>
          <cell r="E8">
            <v>4442405.36</v>
          </cell>
        </row>
        <row r="10">
          <cell r="F10">
            <v>2823332.89</v>
          </cell>
        </row>
        <row r="11">
          <cell r="F11">
            <v>5769062.09</v>
          </cell>
        </row>
        <row r="12">
          <cell r="F12">
            <v>4781437.21</v>
          </cell>
        </row>
      </sheetData>
      <sheetData sheetId="5">
        <row r="3">
          <cell r="D3">
            <v>33044060.62</v>
          </cell>
        </row>
        <row r="4">
          <cell r="D4">
            <v>33168958.16</v>
          </cell>
        </row>
        <row r="5">
          <cell r="D5">
            <v>923535.81</v>
          </cell>
        </row>
        <row r="6">
          <cell r="D6">
            <v>344723.97</v>
          </cell>
        </row>
        <row r="7">
          <cell r="D7">
            <v>268186.77</v>
          </cell>
        </row>
        <row r="8">
          <cell r="D8">
            <v>1661344.09</v>
          </cell>
        </row>
        <row r="9">
          <cell r="D9">
            <v>0</v>
          </cell>
        </row>
        <row r="10">
          <cell r="D10">
            <v>7729813.42</v>
          </cell>
        </row>
        <row r="11">
          <cell r="D11">
            <v>4786184.24</v>
          </cell>
        </row>
        <row r="12">
          <cell r="D12">
            <v>422561.54</v>
          </cell>
        </row>
        <row r="13">
          <cell r="D13">
            <v>488347.85</v>
          </cell>
        </row>
        <row r="14">
          <cell r="D14">
            <v>2032719.79</v>
          </cell>
        </row>
        <row r="15">
          <cell r="D15">
            <v>0</v>
          </cell>
        </row>
        <row r="16">
          <cell r="D16">
            <v>16055020.47</v>
          </cell>
        </row>
        <row r="17">
          <cell r="D17">
            <v>17625011.97</v>
          </cell>
        </row>
        <row r="18">
          <cell r="D18">
            <v>23744255.7</v>
          </cell>
        </row>
        <row r="19">
          <cell r="D19">
            <v>41369267.67</v>
          </cell>
        </row>
        <row r="23">
          <cell r="D23">
            <v>110313630.35</v>
          </cell>
        </row>
        <row r="24">
          <cell r="D24">
            <v>75628811.33</v>
          </cell>
        </row>
        <row r="25">
          <cell r="D25">
            <v>33937997.37</v>
          </cell>
        </row>
        <row r="26">
          <cell r="D26">
            <v>746821.65</v>
          </cell>
        </row>
        <row r="27">
          <cell r="D27">
            <v>0</v>
          </cell>
        </row>
        <row r="28">
          <cell r="D28">
            <v>107283187.22</v>
          </cell>
        </row>
        <row r="29">
          <cell r="D29">
            <v>102082284.83</v>
          </cell>
        </row>
        <row r="30">
          <cell r="D30">
            <v>4711346.09</v>
          </cell>
        </row>
        <row r="31">
          <cell r="D31">
            <v>465488.0499999998</v>
          </cell>
        </row>
        <row r="32">
          <cell r="D32">
            <v>24068.25</v>
          </cell>
        </row>
        <row r="33">
          <cell r="D33">
            <v>3030443.129999995</v>
          </cell>
        </row>
        <row r="34">
          <cell r="D34">
            <v>13024577.34</v>
          </cell>
        </row>
        <row r="35">
          <cell r="D35">
            <v>16055020.469999995</v>
          </cell>
        </row>
      </sheetData>
      <sheetData sheetId="6">
        <row r="5">
          <cell r="D5">
            <v>777110.4000000044</v>
          </cell>
          <cell r="E5">
            <v>0</v>
          </cell>
          <cell r="F5">
            <v>777110.4000000044</v>
          </cell>
          <cell r="G5">
            <v>775855.05</v>
          </cell>
          <cell r="H5">
            <v>1255.3500000044005</v>
          </cell>
        </row>
        <row r="6">
          <cell r="D6">
            <v>3579942.7599999993</v>
          </cell>
          <cell r="E6">
            <v>0</v>
          </cell>
          <cell r="F6">
            <v>3579942.7599999993</v>
          </cell>
          <cell r="G6">
            <v>3173862.12</v>
          </cell>
          <cell r="H6">
            <v>406080.6399999992</v>
          </cell>
        </row>
        <row r="7">
          <cell r="D7">
            <v>1620.1899999999441</v>
          </cell>
          <cell r="E7">
            <v>0</v>
          </cell>
          <cell r="F7">
            <v>1620.1899999999441</v>
          </cell>
          <cell r="G7">
            <v>1620.19</v>
          </cell>
          <cell r="H7">
            <v>-5.5933924159035087E-11</v>
          </cell>
        </row>
        <row r="8">
          <cell r="D8">
            <v>161078.32000000007</v>
          </cell>
          <cell r="E8">
            <v>0</v>
          </cell>
          <cell r="F8">
            <v>161078.32000000007</v>
          </cell>
          <cell r="G8">
            <v>149690.11</v>
          </cell>
          <cell r="H8">
            <v>11388.21000000008</v>
          </cell>
        </row>
        <row r="9">
          <cell r="D9">
            <v>614155.9599999996</v>
          </cell>
          <cell r="E9">
            <v>0</v>
          </cell>
          <cell r="F9">
            <v>614155.9599999996</v>
          </cell>
          <cell r="G9">
            <v>610318.62</v>
          </cell>
          <cell r="H9">
            <v>3837.339999999618</v>
          </cell>
        </row>
        <row r="10">
          <cell r="D10">
            <v>0</v>
          </cell>
          <cell r="E10">
            <v>0</v>
          </cell>
          <cell r="F10">
            <v>0</v>
          </cell>
          <cell r="G10">
            <v>0</v>
          </cell>
          <cell r="H10">
            <v>0</v>
          </cell>
        </row>
        <row r="11">
          <cell r="D11">
            <v>0</v>
          </cell>
          <cell r="E11">
            <v>0</v>
          </cell>
          <cell r="F11">
            <v>0</v>
          </cell>
          <cell r="G11">
            <v>0</v>
          </cell>
          <cell r="H11">
            <v>0</v>
          </cell>
        </row>
        <row r="12">
          <cell r="D12">
            <v>0</v>
          </cell>
          <cell r="E12">
            <v>0</v>
          </cell>
          <cell r="F12">
            <v>0</v>
          </cell>
          <cell r="G12">
            <v>0</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3449028.5</v>
          </cell>
          <cell r="E21">
            <v>-1237665.02</v>
          </cell>
          <cell r="F21">
            <v>0</v>
          </cell>
          <cell r="G21">
            <v>0</v>
          </cell>
          <cell r="H21">
            <v>2211363.48</v>
          </cell>
          <cell r="I21">
            <v>1982086.21</v>
          </cell>
          <cell r="J21">
            <v>0</v>
          </cell>
          <cell r="K21">
            <v>0</v>
          </cell>
          <cell r="L21">
            <v>229277.27000000002</v>
          </cell>
        </row>
        <row r="22">
          <cell r="D22">
            <v>32281155.87</v>
          </cell>
          <cell r="E22">
            <v>-300</v>
          </cell>
          <cell r="F22">
            <v>0</v>
          </cell>
          <cell r="G22">
            <v>0</v>
          </cell>
          <cell r="H22">
            <v>32280855.87</v>
          </cell>
          <cell r="I22">
            <v>31876973.62</v>
          </cell>
          <cell r="J22">
            <v>0</v>
          </cell>
          <cell r="K22">
            <v>0</v>
          </cell>
          <cell r="L22">
            <v>403882.25</v>
          </cell>
        </row>
        <row r="23">
          <cell r="D23">
            <v>377594.09</v>
          </cell>
          <cell r="E23">
            <v>-8280.26</v>
          </cell>
          <cell r="F23">
            <v>0</v>
          </cell>
          <cell r="G23">
            <v>0</v>
          </cell>
          <cell r="H23">
            <v>369313.83</v>
          </cell>
          <cell r="I23">
            <v>78937.54</v>
          </cell>
          <cell r="J23">
            <v>0</v>
          </cell>
          <cell r="K23">
            <v>0</v>
          </cell>
          <cell r="L23">
            <v>290376.29000000004</v>
          </cell>
        </row>
        <row r="24">
          <cell r="D24">
            <v>0</v>
          </cell>
          <cell r="E24">
            <v>0</v>
          </cell>
          <cell r="F24">
            <v>0</v>
          </cell>
          <cell r="G24">
            <v>0</v>
          </cell>
          <cell r="H24">
            <v>0</v>
          </cell>
          <cell r="I24">
            <v>0</v>
          </cell>
          <cell r="J24">
            <v>0</v>
          </cell>
          <cell r="K24">
            <v>0</v>
          </cell>
          <cell r="L24">
            <v>0</v>
          </cell>
        </row>
        <row r="25">
          <cell r="D25">
            <v>0</v>
          </cell>
          <cell r="E25">
            <v>0</v>
          </cell>
          <cell r="F25">
            <v>0</v>
          </cell>
          <cell r="G25">
            <v>0</v>
          </cell>
          <cell r="H25">
            <v>0</v>
          </cell>
          <cell r="I25">
            <v>0</v>
          </cell>
          <cell r="J25">
            <v>0</v>
          </cell>
          <cell r="K25">
            <v>0</v>
          </cell>
          <cell r="L25">
            <v>0</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2298</v>
          </cell>
        </row>
        <row r="10">
          <cell r="H10">
            <v>0</v>
          </cell>
        </row>
        <row r="11">
          <cell r="H11">
            <v>0</v>
          </cell>
        </row>
        <row r="18">
          <cell r="H18">
            <v>0</v>
          </cell>
        </row>
        <row r="30">
          <cell r="H30">
            <v>-10.06</v>
          </cell>
        </row>
        <row r="31">
          <cell r="H31">
            <v>21.52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Acerno_Cache_XXXXX"/>
      <sheetName val="8100"/>
    </sheetNames>
    <sheetDataSet>
      <sheetData sheetId="0"/>
      <sheetData sheetId="1">
        <row r="3">
          <cell r="D3">
            <v>302206782.13</v>
          </cell>
          <cell r="L3">
            <v>382454068.33</v>
          </cell>
        </row>
        <row r="4">
          <cell r="D4">
            <v>35511.8</v>
          </cell>
          <cell r="L4">
            <v>76514614.5</v>
          </cell>
        </row>
        <row r="5">
          <cell r="D5">
            <v>0</v>
          </cell>
          <cell r="L5">
            <v>0</v>
          </cell>
        </row>
        <row r="6">
          <cell r="D6">
            <v>0</v>
          </cell>
          <cell r="L6">
            <v>42082845</v>
          </cell>
        </row>
        <row r="7">
          <cell r="D7">
            <v>0</v>
          </cell>
          <cell r="L7">
            <v>36028122.83</v>
          </cell>
        </row>
        <row r="8">
          <cell r="D8">
            <v>35511.8</v>
          </cell>
          <cell r="L8">
            <v>0</v>
          </cell>
        </row>
        <row r="9">
          <cell r="D9">
            <v>0</v>
          </cell>
          <cell r="L9">
            <v>0</v>
          </cell>
        </row>
        <row r="10">
          <cell r="D10">
            <v>1491922.9100000006</v>
          </cell>
          <cell r="L10">
            <v>-1596353.33</v>
          </cell>
        </row>
        <row r="11">
          <cell r="D11">
            <v>3088117.87</v>
          </cell>
          <cell r="L11">
            <v>0</v>
          </cell>
        </row>
        <row r="12">
          <cell r="D12">
            <v>216480.03</v>
          </cell>
          <cell r="L12">
            <v>302243414.89</v>
          </cell>
        </row>
        <row r="13">
          <cell r="D13">
            <v>2413307.84</v>
          </cell>
          <cell r="L13">
            <v>302243414.89</v>
          </cell>
        </row>
        <row r="14">
          <cell r="D14">
            <v>1205.82</v>
          </cell>
          <cell r="L14">
            <v>0</v>
          </cell>
        </row>
        <row r="15">
          <cell r="D15">
            <v>0</v>
          </cell>
          <cell r="L15">
            <v>3696038.94</v>
          </cell>
        </row>
        <row r="16">
          <cell r="D16">
            <v>-4781860</v>
          </cell>
          <cell r="L16">
            <v>0</v>
          </cell>
        </row>
        <row r="17">
          <cell r="D17">
            <v>554671.35</v>
          </cell>
          <cell r="L17">
            <v>857617.37</v>
          </cell>
        </row>
        <row r="18">
          <cell r="D18">
            <v>255237133.82999998</v>
          </cell>
          <cell r="L18">
            <v>18070863.43</v>
          </cell>
        </row>
        <row r="19">
          <cell r="D19">
            <v>287374937.83</v>
          </cell>
          <cell r="L19">
            <v>0</v>
          </cell>
        </row>
        <row r="20">
          <cell r="D20">
            <v>56076566.24</v>
          </cell>
          <cell r="L20">
            <v>0</v>
          </cell>
        </row>
        <row r="21">
          <cell r="D21">
            <v>22235310.96</v>
          </cell>
          <cell r="L21">
            <v>0</v>
          </cell>
        </row>
        <row r="22">
          <cell r="D22">
            <v>41702582.24</v>
          </cell>
          <cell r="L22">
            <v>0</v>
          </cell>
        </row>
        <row r="23">
          <cell r="D23">
            <v>-152152263.44</v>
          </cell>
          <cell r="L23">
            <v>0</v>
          </cell>
        </row>
        <row r="24">
          <cell r="D24">
            <v>0</v>
          </cell>
          <cell r="L24">
            <v>18070863.43</v>
          </cell>
        </row>
        <row r="25">
          <cell r="D25">
            <v>45442213.589999996</v>
          </cell>
          <cell r="L25">
            <v>16509330.6</v>
          </cell>
        </row>
        <row r="26">
          <cell r="D26">
            <v>126294.97</v>
          </cell>
          <cell r="L26">
            <v>1257871.97</v>
          </cell>
        </row>
        <row r="27">
          <cell r="D27">
            <v>45293404.62</v>
          </cell>
          <cell r="L27">
            <v>0</v>
          </cell>
        </row>
        <row r="28">
          <cell r="D28">
            <v>113820.06</v>
          </cell>
          <cell r="L28">
            <v>303660.86</v>
          </cell>
        </row>
        <row r="29">
          <cell r="D29">
            <v>-91306.06</v>
          </cell>
          <cell r="L29">
            <v>0</v>
          </cell>
        </row>
        <row r="30">
          <cell r="D30">
            <v>0</v>
          </cell>
        </row>
        <row r="31">
          <cell r="D31">
            <v>0</v>
          </cell>
          <cell r="L31">
            <v>35628665.03</v>
          </cell>
        </row>
        <row r="32">
          <cell r="D32">
            <v>134804432.03</v>
          </cell>
          <cell r="L32">
            <v>0</v>
          </cell>
        </row>
        <row r="33">
          <cell r="D33">
            <v>0</v>
          </cell>
          <cell r="L33">
            <v>0</v>
          </cell>
        </row>
        <row r="34">
          <cell r="D34">
            <v>0</v>
          </cell>
          <cell r="L34">
            <v>0</v>
          </cell>
        </row>
        <row r="35">
          <cell r="D35">
            <v>0</v>
          </cell>
          <cell r="L35">
            <v>0</v>
          </cell>
        </row>
        <row r="36">
          <cell r="D36">
            <v>0</v>
          </cell>
          <cell r="L36">
            <v>0</v>
          </cell>
        </row>
        <row r="37">
          <cell r="D37">
            <v>0</v>
          </cell>
          <cell r="L37">
            <v>7866628.04</v>
          </cell>
        </row>
        <row r="38">
          <cell r="D38">
            <v>0</v>
          </cell>
          <cell r="L38">
            <v>7363249.9</v>
          </cell>
        </row>
        <row r="39">
          <cell r="D39">
            <v>0</v>
          </cell>
          <cell r="L39">
            <v>503378.14</v>
          </cell>
        </row>
        <row r="40">
          <cell r="D40">
            <v>55134588.19</v>
          </cell>
          <cell r="L40">
            <v>7648838.819999999</v>
          </cell>
        </row>
        <row r="41">
          <cell r="D41">
            <v>34075115.51</v>
          </cell>
          <cell r="L41">
            <v>4018735.34</v>
          </cell>
        </row>
        <row r="42">
          <cell r="D42">
            <v>20476250.08</v>
          </cell>
          <cell r="L42">
            <v>491134.18</v>
          </cell>
        </row>
        <row r="43">
          <cell r="D43">
            <v>0</v>
          </cell>
          <cell r="L43">
            <v>0</v>
          </cell>
        </row>
        <row r="44">
          <cell r="D44">
            <v>1422221.79</v>
          </cell>
          <cell r="L44">
            <v>2810489.44</v>
          </cell>
        </row>
        <row r="45">
          <cell r="D45">
            <v>336493.36</v>
          </cell>
          <cell r="L45">
            <v>322402.87</v>
          </cell>
        </row>
        <row r="46">
          <cell r="D46">
            <v>-1175492.55</v>
          </cell>
          <cell r="L46">
            <v>6076.99</v>
          </cell>
        </row>
        <row r="47">
          <cell r="D47">
            <v>6598846.82</v>
          </cell>
          <cell r="L47">
            <v>20113198.17</v>
          </cell>
        </row>
        <row r="48">
          <cell r="D48">
            <v>0</v>
          </cell>
          <cell r="L48">
            <v>0</v>
          </cell>
        </row>
        <row r="49">
          <cell r="D49">
            <v>6598846.82</v>
          </cell>
          <cell r="L49">
            <v>0</v>
          </cell>
        </row>
        <row r="50">
          <cell r="D50">
            <v>0</v>
          </cell>
          <cell r="L50">
            <v>437011214.15999997</v>
          </cell>
        </row>
        <row r="51">
          <cell r="D51">
            <v>0</v>
          </cell>
        </row>
        <row r="52">
          <cell r="D52">
            <v>73070997.02</v>
          </cell>
        </row>
        <row r="53">
          <cell r="D53">
            <v>0</v>
          </cell>
        </row>
        <row r="54">
          <cell r="D54">
            <v>437011214.15999997</v>
          </cell>
        </row>
      </sheetData>
      <sheetData sheetId="2">
        <row r="4">
          <cell r="D4">
            <v>0</v>
          </cell>
          <cell r="L4">
            <v>1242996.01</v>
          </cell>
        </row>
        <row r="5">
          <cell r="D5">
            <v>0</v>
          </cell>
        </row>
        <row r="8">
          <cell r="L8">
            <v>0</v>
          </cell>
        </row>
        <row r="10">
          <cell r="D10">
            <v>58613688.309999995</v>
          </cell>
          <cell r="L10">
            <v>19575354.619999997</v>
          </cell>
        </row>
        <row r="11">
          <cell r="D11">
            <v>50394549.12</v>
          </cell>
          <cell r="L11">
            <v>23678.59</v>
          </cell>
        </row>
        <row r="12">
          <cell r="D12">
            <v>8219139.19</v>
          </cell>
          <cell r="L12">
            <v>30658.09</v>
          </cell>
        </row>
        <row r="13">
          <cell r="D13">
            <v>0</v>
          </cell>
          <cell r="L13">
            <v>1027055</v>
          </cell>
        </row>
        <row r="14">
          <cell r="D14">
            <v>10177139.27</v>
          </cell>
          <cell r="L14">
            <v>1027055</v>
          </cell>
        </row>
        <row r="15">
          <cell r="D15">
            <v>166337.88</v>
          </cell>
          <cell r="L15">
            <v>0</v>
          </cell>
        </row>
        <row r="16">
          <cell r="L16">
            <v>0</v>
          </cell>
        </row>
        <row r="17">
          <cell r="L17">
            <v>98434.54</v>
          </cell>
        </row>
        <row r="18">
          <cell r="D18">
            <v>27442793.21</v>
          </cell>
          <cell r="L18">
            <v>161779.66</v>
          </cell>
        </row>
        <row r="19">
          <cell r="D19">
            <v>27278641.56</v>
          </cell>
        </row>
        <row r="20">
          <cell r="D20">
            <v>10553.87</v>
          </cell>
        </row>
        <row r="21">
          <cell r="D21">
            <v>153597.78</v>
          </cell>
          <cell r="L21">
            <v>8206.45</v>
          </cell>
        </row>
        <row r="22">
          <cell r="D22">
            <v>1060524.59</v>
          </cell>
        </row>
        <row r="23">
          <cell r="L23">
            <v>58566911.48</v>
          </cell>
        </row>
        <row r="24">
          <cell r="L24">
            <v>5439965.33</v>
          </cell>
        </row>
        <row r="25">
          <cell r="D25">
            <v>-406</v>
          </cell>
          <cell r="L25">
            <v>2861378.5</v>
          </cell>
        </row>
        <row r="26">
          <cell r="D26">
            <v>0</v>
          </cell>
          <cell r="L26">
            <v>12100577.68</v>
          </cell>
        </row>
        <row r="27">
          <cell r="L27">
            <v>1665762.5099999998</v>
          </cell>
        </row>
        <row r="28">
          <cell r="D28">
            <v>967649.65</v>
          </cell>
          <cell r="L28">
            <v>123089.49</v>
          </cell>
        </row>
        <row r="29">
          <cell r="D29">
            <v>43100</v>
          </cell>
          <cell r="L29">
            <v>0</v>
          </cell>
        </row>
        <row r="30">
          <cell r="D30">
            <v>52964.98</v>
          </cell>
          <cell r="L30">
            <v>1119517.65</v>
          </cell>
        </row>
        <row r="31">
          <cell r="D31">
            <v>3800</v>
          </cell>
          <cell r="L31">
            <v>423155.37</v>
          </cell>
        </row>
        <row r="32">
          <cell r="D32">
            <v>579127.63</v>
          </cell>
        </row>
        <row r="33">
          <cell r="D33">
            <v>40379.4</v>
          </cell>
        </row>
        <row r="34">
          <cell r="D34">
            <v>0</v>
          </cell>
        </row>
        <row r="35">
          <cell r="D35">
            <v>300</v>
          </cell>
        </row>
        <row r="36">
          <cell r="D36">
            <v>538448.23</v>
          </cell>
        </row>
      </sheetData>
      <sheetData sheetId="3">
        <row r="5">
          <cell r="D5">
            <v>52097607.86</v>
          </cell>
          <cell r="E5">
            <v>522308.48</v>
          </cell>
          <cell r="F5">
            <v>52619916.339999996</v>
          </cell>
          <cell r="G5">
            <v>47994831.1</v>
          </cell>
          <cell r="H5">
            <v>47994831.1</v>
          </cell>
          <cell r="I5">
            <v>4625085.239999995</v>
          </cell>
          <cell r="J5">
            <v>47994757.29</v>
          </cell>
          <cell r="K5">
            <v>73.81000000238419</v>
          </cell>
        </row>
        <row r="6">
          <cell r="D6">
            <v>21990945.38</v>
          </cell>
          <cell r="E6">
            <v>11745978.2</v>
          </cell>
          <cell r="F6">
            <v>33736923.58</v>
          </cell>
          <cell r="G6">
            <v>26244290.46</v>
          </cell>
          <cell r="H6">
            <v>25453521.58</v>
          </cell>
          <cell r="I6">
            <v>8283402</v>
          </cell>
          <cell r="J6">
            <v>22993374.17</v>
          </cell>
          <cell r="K6">
            <v>2460147.4099999964</v>
          </cell>
        </row>
        <row r="7">
          <cell r="D7">
            <v>1201076.77</v>
          </cell>
          <cell r="E7">
            <v>0</v>
          </cell>
          <cell r="F7">
            <v>1201076.77</v>
          </cell>
          <cell r="G7">
            <v>1201075.98</v>
          </cell>
          <cell r="H7">
            <v>1201075.98</v>
          </cell>
          <cell r="I7">
            <v>0.7900000000372529</v>
          </cell>
          <cell r="J7">
            <v>1201075.98</v>
          </cell>
          <cell r="K7">
            <v>0</v>
          </cell>
        </row>
        <row r="8">
          <cell r="D8">
            <v>7110104.78</v>
          </cell>
          <cell r="E8">
            <v>-1476441.81</v>
          </cell>
          <cell r="F8">
            <v>5633662.970000001</v>
          </cell>
          <cell r="G8">
            <v>3422226.88</v>
          </cell>
          <cell r="H8">
            <v>3422226.88</v>
          </cell>
          <cell r="I8">
            <v>2211436.090000001</v>
          </cell>
          <cell r="J8">
            <v>3416127.8</v>
          </cell>
          <cell r="K8">
            <v>6099.0800000000745</v>
          </cell>
        </row>
        <row r="10">
          <cell r="D10">
            <v>6987982.8</v>
          </cell>
          <cell r="E10">
            <v>22047216.36</v>
          </cell>
          <cell r="F10">
            <v>29035199.16</v>
          </cell>
          <cell r="G10">
            <v>17360526.67</v>
          </cell>
          <cell r="H10">
            <v>15534797.79</v>
          </cell>
          <cell r="I10">
            <v>13500401.370000001</v>
          </cell>
          <cell r="J10">
            <v>14889089.5</v>
          </cell>
          <cell r="K10">
            <v>645708.2899999991</v>
          </cell>
        </row>
        <row r="11">
          <cell r="D11">
            <v>53000</v>
          </cell>
          <cell r="E11">
            <v>0</v>
          </cell>
          <cell r="F11">
            <v>53000</v>
          </cell>
          <cell r="G11">
            <v>52964.98</v>
          </cell>
          <cell r="H11">
            <v>52964.98</v>
          </cell>
          <cell r="I11">
            <v>35.0199999999968</v>
          </cell>
          <cell r="J11">
            <v>52964.98</v>
          </cell>
          <cell r="K11">
            <v>0</v>
          </cell>
        </row>
        <row r="12">
          <cell r="D12">
            <v>0</v>
          </cell>
          <cell r="E12">
            <v>20000</v>
          </cell>
          <cell r="F12">
            <v>20000</v>
          </cell>
          <cell r="G12">
            <v>1650</v>
          </cell>
          <cell r="H12">
            <v>1650</v>
          </cell>
          <cell r="I12">
            <v>18350</v>
          </cell>
          <cell r="J12">
            <v>1650</v>
          </cell>
          <cell r="K12">
            <v>0</v>
          </cell>
        </row>
        <row r="13">
          <cell r="D13">
            <v>8033453.81</v>
          </cell>
          <cell r="E13">
            <v>0</v>
          </cell>
          <cell r="F13">
            <v>8033453.81</v>
          </cell>
          <cell r="G13">
            <v>8028753.68</v>
          </cell>
          <cell r="H13">
            <v>8028753.68</v>
          </cell>
          <cell r="I13">
            <v>4700.129999999888</v>
          </cell>
          <cell r="J13">
            <v>8028753.68</v>
          </cell>
          <cell r="K13">
            <v>0</v>
          </cell>
        </row>
        <row r="20">
          <cell r="D20">
            <v>0</v>
          </cell>
          <cell r="E20">
            <v>0</v>
          </cell>
          <cell r="F20">
            <v>0</v>
          </cell>
          <cell r="G20">
            <v>0</v>
          </cell>
          <cell r="H20">
            <v>0</v>
          </cell>
          <cell r="I20">
            <v>0</v>
          </cell>
          <cell r="J20">
            <v>0</v>
          </cell>
        </row>
        <row r="21">
          <cell r="D21">
            <v>0</v>
          </cell>
          <cell r="E21">
            <v>0</v>
          </cell>
          <cell r="F21">
            <v>0</v>
          </cell>
          <cell r="G21">
            <v>0</v>
          </cell>
          <cell r="H21">
            <v>0</v>
          </cell>
          <cell r="I21">
            <v>0</v>
          </cell>
          <cell r="J21">
            <v>0</v>
          </cell>
        </row>
        <row r="22">
          <cell r="D22">
            <v>15688974.62</v>
          </cell>
          <cell r="E22">
            <v>4632798.67</v>
          </cell>
          <cell r="F22">
            <v>20321773.29</v>
          </cell>
          <cell r="G22">
            <v>22278504.11</v>
          </cell>
          <cell r="H22">
            <v>19380211.82</v>
          </cell>
          <cell r="I22">
            <v>0</v>
          </cell>
          <cell r="J22">
            <v>2898292.289999999</v>
          </cell>
        </row>
        <row r="23">
          <cell r="D23">
            <v>74226146.23</v>
          </cell>
          <cell r="E23">
            <v>610545.26</v>
          </cell>
          <cell r="F23">
            <v>74836691.49000001</v>
          </cell>
          <cell r="G23">
            <v>74373668.45</v>
          </cell>
          <cell r="H23">
            <v>45461356.26</v>
          </cell>
          <cell r="I23">
            <v>0</v>
          </cell>
          <cell r="J23">
            <v>28912312.190000005</v>
          </cell>
        </row>
        <row r="24">
          <cell r="D24">
            <v>295000</v>
          </cell>
          <cell r="E24">
            <v>168579.78</v>
          </cell>
          <cell r="F24">
            <v>463579.78</v>
          </cell>
          <cell r="G24">
            <v>621155.57</v>
          </cell>
          <cell r="H24">
            <v>594398.08</v>
          </cell>
          <cell r="I24">
            <v>0</v>
          </cell>
          <cell r="J24">
            <v>26757.48999999999</v>
          </cell>
        </row>
        <row r="25">
          <cell r="D25">
            <v>0</v>
          </cell>
          <cell r="E25">
            <v>0</v>
          </cell>
          <cell r="F25">
            <v>0</v>
          </cell>
          <cell r="G25">
            <v>0</v>
          </cell>
          <cell r="H25">
            <v>0</v>
          </cell>
          <cell r="I25">
            <v>0</v>
          </cell>
          <cell r="J25">
            <v>0</v>
          </cell>
        </row>
        <row r="26">
          <cell r="D26">
            <v>7264050.55</v>
          </cell>
          <cell r="E26">
            <v>7307066.82</v>
          </cell>
          <cell r="F26">
            <v>14571117.370000001</v>
          </cell>
          <cell r="G26">
            <v>14955625.34</v>
          </cell>
          <cell r="H26">
            <v>13884725.84</v>
          </cell>
          <cell r="I26">
            <v>0</v>
          </cell>
          <cell r="J26">
            <v>1070899.5</v>
          </cell>
        </row>
        <row r="27">
          <cell r="D27">
            <v>0</v>
          </cell>
          <cell r="E27">
            <v>20140070.7</v>
          </cell>
          <cell r="F27">
            <v>20140070.7</v>
          </cell>
          <cell r="G27">
            <v>0</v>
          </cell>
          <cell r="H27">
            <v>0</v>
          </cell>
          <cell r="I27">
            <v>0</v>
          </cell>
          <cell r="J27">
            <v>0</v>
          </cell>
        </row>
        <row r="28">
          <cell r="D28">
            <v>0</v>
          </cell>
          <cell r="E28">
            <v>0</v>
          </cell>
          <cell r="F28">
            <v>0</v>
          </cell>
          <cell r="G28">
            <v>0</v>
          </cell>
          <cell r="H28">
            <v>0</v>
          </cell>
          <cell r="I28">
            <v>0</v>
          </cell>
          <cell r="J28">
            <v>0</v>
          </cell>
        </row>
      </sheetData>
      <sheetData sheetId="4">
        <row r="5">
          <cell r="D5">
            <v>0</v>
          </cell>
          <cell r="E5">
            <v>1650</v>
          </cell>
        </row>
        <row r="6">
          <cell r="D6">
            <v>0</v>
          </cell>
          <cell r="E6">
            <v>0</v>
          </cell>
        </row>
        <row r="8">
          <cell r="D8">
            <v>0</v>
          </cell>
          <cell r="E8">
            <v>8028753.68</v>
          </cell>
        </row>
        <row r="10">
          <cell r="F10">
            <v>426351.05</v>
          </cell>
        </row>
        <row r="11">
          <cell r="F11">
            <v>5048280.34</v>
          </cell>
        </row>
        <row r="12">
          <cell r="F12">
            <v>4874743.8</v>
          </cell>
        </row>
      </sheetData>
      <sheetData sheetId="5">
        <row r="3">
          <cell r="D3">
            <v>34654915.620000005</v>
          </cell>
        </row>
        <row r="4">
          <cell r="D4">
            <v>32908261.47</v>
          </cell>
        </row>
        <row r="5">
          <cell r="D5">
            <v>1166854.04</v>
          </cell>
        </row>
        <row r="6">
          <cell r="D6">
            <v>2077695.53</v>
          </cell>
        </row>
        <row r="7">
          <cell r="D7">
            <v>0</v>
          </cell>
        </row>
        <row r="8">
          <cell r="D8">
            <v>1175492.55</v>
          </cell>
        </row>
        <row r="9">
          <cell r="D9">
            <v>322402.87</v>
          </cell>
        </row>
        <row r="10">
          <cell r="D10">
            <v>6989942.589999999</v>
          </cell>
        </row>
        <row r="11">
          <cell r="D11">
            <v>3112028.59</v>
          </cell>
        </row>
        <row r="12">
          <cell r="D12">
            <v>49164.32</v>
          </cell>
        </row>
        <row r="13">
          <cell r="D13">
            <v>4165243.04</v>
          </cell>
        </row>
        <row r="14">
          <cell r="D14">
            <v>0</v>
          </cell>
        </row>
        <row r="15">
          <cell r="D15">
            <v>336493.36</v>
          </cell>
        </row>
        <row r="16">
          <cell r="D16">
            <v>73070997.02</v>
          </cell>
        </row>
        <row r="17">
          <cell r="D17">
            <v>83070143.69</v>
          </cell>
        </row>
        <row r="18">
          <cell r="D18">
            <v>17665826.36</v>
          </cell>
        </row>
        <row r="19">
          <cell r="D19">
            <v>100735970.05</v>
          </cell>
        </row>
        <row r="23">
          <cell r="D23">
            <v>339984385.78</v>
          </cell>
        </row>
        <row r="24">
          <cell r="D24">
            <v>79320692</v>
          </cell>
        </row>
        <row r="25">
          <cell r="D25">
            <v>27307159.58</v>
          </cell>
        </row>
        <row r="26">
          <cell r="D26">
            <v>233356534.2</v>
          </cell>
        </row>
        <row r="27">
          <cell r="D27">
            <v>0</v>
          </cell>
        </row>
        <row r="28">
          <cell r="D28">
            <v>334810868.3</v>
          </cell>
        </row>
        <row r="29">
          <cell r="D29">
            <v>98577793.39999999</v>
          </cell>
        </row>
        <row r="30">
          <cell r="D30">
            <v>4340640.08</v>
          </cell>
        </row>
        <row r="31">
          <cell r="D31">
            <v>231892434.82000002</v>
          </cell>
        </row>
        <row r="32">
          <cell r="D32">
            <v>0</v>
          </cell>
        </row>
        <row r="33">
          <cell r="D33">
            <v>5173517.4799999595</v>
          </cell>
        </row>
        <row r="34">
          <cell r="D34">
            <v>67897479.53999999</v>
          </cell>
        </row>
        <row r="35">
          <cell r="D35">
            <v>73070997.01999995</v>
          </cell>
        </row>
      </sheetData>
      <sheetData sheetId="6">
        <row r="5">
          <cell r="D5">
            <v>416.24000000208616</v>
          </cell>
          <cell r="E5">
            <v>0</v>
          </cell>
          <cell r="F5">
            <v>416.24000000208616</v>
          </cell>
          <cell r="G5">
            <v>416.24</v>
          </cell>
          <cell r="H5">
            <v>2.086153472191654E-09</v>
          </cell>
        </row>
        <row r="6">
          <cell r="D6">
            <v>2026046.009999999</v>
          </cell>
          <cell r="E6">
            <v>-10.59</v>
          </cell>
          <cell r="F6">
            <v>2026035.419999999</v>
          </cell>
          <cell r="G6">
            <v>1993205.7</v>
          </cell>
          <cell r="H6">
            <v>32829.71999999904</v>
          </cell>
        </row>
        <row r="7">
          <cell r="D7">
            <v>0</v>
          </cell>
          <cell r="E7">
            <v>0</v>
          </cell>
          <cell r="F7">
            <v>0</v>
          </cell>
          <cell r="G7">
            <v>0</v>
          </cell>
          <cell r="H7">
            <v>0</v>
          </cell>
        </row>
        <row r="8">
          <cell r="D8">
            <v>9582.149999999907</v>
          </cell>
          <cell r="E8">
            <v>0</v>
          </cell>
          <cell r="F8">
            <v>9582.149999999907</v>
          </cell>
          <cell r="G8">
            <v>9582.15</v>
          </cell>
          <cell r="H8">
            <v>-9.276845958083868E-11</v>
          </cell>
        </row>
        <row r="9">
          <cell r="D9">
            <v>1937889.959999999</v>
          </cell>
          <cell r="E9">
            <v>0</v>
          </cell>
          <cell r="F9">
            <v>1937889.959999999</v>
          </cell>
          <cell r="G9">
            <v>1921555.36</v>
          </cell>
          <cell r="H9">
            <v>16334.599999998929</v>
          </cell>
        </row>
        <row r="10">
          <cell r="D10">
            <v>0</v>
          </cell>
          <cell r="E10">
            <v>0</v>
          </cell>
          <cell r="F10">
            <v>0</v>
          </cell>
          <cell r="G10">
            <v>0</v>
          </cell>
          <cell r="H10">
            <v>0</v>
          </cell>
        </row>
        <row r="11">
          <cell r="D11">
            <v>0</v>
          </cell>
          <cell r="E11">
            <v>0</v>
          </cell>
          <cell r="F11">
            <v>0</v>
          </cell>
          <cell r="G11">
            <v>0</v>
          </cell>
          <cell r="H11">
            <v>0</v>
          </cell>
        </row>
        <row r="12">
          <cell r="D12">
            <v>415880.6299999999</v>
          </cell>
          <cell r="E12">
            <v>0</v>
          </cell>
          <cell r="F12">
            <v>415880.6299999999</v>
          </cell>
          <cell r="G12">
            <v>415880.63</v>
          </cell>
          <cell r="H12">
            <v>0</v>
          </cell>
        </row>
        <row r="19">
          <cell r="D19">
            <v>0</v>
          </cell>
          <cell r="E19">
            <v>0</v>
          </cell>
          <cell r="F19">
            <v>0</v>
          </cell>
          <cell r="G19">
            <v>0</v>
          </cell>
          <cell r="H19">
            <v>0</v>
          </cell>
          <cell r="I19">
            <v>0</v>
          </cell>
          <cell r="J19">
            <v>0</v>
          </cell>
          <cell r="K19">
            <v>0</v>
          </cell>
          <cell r="L19">
            <v>0</v>
          </cell>
        </row>
        <row r="20">
          <cell r="D20">
            <v>0</v>
          </cell>
          <cell r="E20">
            <v>0</v>
          </cell>
          <cell r="F20">
            <v>0</v>
          </cell>
          <cell r="G20">
            <v>0</v>
          </cell>
          <cell r="H20">
            <v>0</v>
          </cell>
          <cell r="I20">
            <v>0</v>
          </cell>
          <cell r="J20">
            <v>0</v>
          </cell>
          <cell r="K20">
            <v>0</v>
          </cell>
          <cell r="L20">
            <v>0</v>
          </cell>
        </row>
        <row r="21">
          <cell r="D21">
            <v>2699646.68</v>
          </cell>
          <cell r="E21">
            <v>0</v>
          </cell>
          <cell r="F21">
            <v>12676.38</v>
          </cell>
          <cell r="G21">
            <v>0</v>
          </cell>
          <cell r="H21">
            <v>2686970.3000000003</v>
          </cell>
          <cell r="I21">
            <v>2283927.31</v>
          </cell>
          <cell r="J21">
            <v>0</v>
          </cell>
          <cell r="K21">
            <v>0</v>
          </cell>
          <cell r="L21">
            <v>403042.9900000002</v>
          </cell>
        </row>
        <row r="22">
          <cell r="D22">
            <v>24763067.07</v>
          </cell>
          <cell r="E22">
            <v>0</v>
          </cell>
          <cell r="F22">
            <v>0</v>
          </cell>
          <cell r="G22">
            <v>0</v>
          </cell>
          <cell r="H22">
            <v>24763067.07</v>
          </cell>
          <cell r="I22">
            <v>24569579.89</v>
          </cell>
          <cell r="J22">
            <v>0</v>
          </cell>
          <cell r="K22">
            <v>0</v>
          </cell>
          <cell r="L22">
            <v>193487.1799999997</v>
          </cell>
        </row>
        <row r="23">
          <cell r="D23">
            <v>145668.69</v>
          </cell>
          <cell r="E23">
            <v>0</v>
          </cell>
          <cell r="F23">
            <v>4701.62</v>
          </cell>
          <cell r="G23">
            <v>0</v>
          </cell>
          <cell r="H23">
            <v>140967.07</v>
          </cell>
          <cell r="I23">
            <v>126212</v>
          </cell>
          <cell r="J23">
            <v>0</v>
          </cell>
          <cell r="K23">
            <v>0</v>
          </cell>
          <cell r="L23">
            <v>14755.070000000007</v>
          </cell>
        </row>
        <row r="24">
          <cell r="D24">
            <v>0</v>
          </cell>
          <cell r="E24">
            <v>0</v>
          </cell>
          <cell r="F24">
            <v>0</v>
          </cell>
          <cell r="G24">
            <v>0</v>
          </cell>
          <cell r="H24">
            <v>0</v>
          </cell>
          <cell r="I24">
            <v>0</v>
          </cell>
          <cell r="J24">
            <v>0</v>
          </cell>
          <cell r="K24">
            <v>0</v>
          </cell>
          <cell r="L24">
            <v>0</v>
          </cell>
        </row>
        <row r="25">
          <cell r="D25">
            <v>1434710.13</v>
          </cell>
          <cell r="E25">
            <v>0</v>
          </cell>
          <cell r="F25">
            <v>551700.95</v>
          </cell>
          <cell r="G25">
            <v>0</v>
          </cell>
          <cell r="H25">
            <v>883009.1799999999</v>
          </cell>
          <cell r="I25">
            <v>327440.38</v>
          </cell>
          <cell r="J25">
            <v>0</v>
          </cell>
          <cell r="K25">
            <v>0</v>
          </cell>
          <cell r="L25">
            <v>555568.7999999999</v>
          </cell>
        </row>
        <row r="26">
          <cell r="D26">
            <v>0</v>
          </cell>
          <cell r="E26">
            <v>0</v>
          </cell>
          <cell r="F26">
            <v>0</v>
          </cell>
          <cell r="G26">
            <v>0</v>
          </cell>
          <cell r="H26">
            <v>0</v>
          </cell>
          <cell r="I26">
            <v>0</v>
          </cell>
          <cell r="J26">
            <v>0</v>
          </cell>
          <cell r="K26">
            <v>0</v>
          </cell>
          <cell r="L26">
            <v>0</v>
          </cell>
        </row>
        <row r="27">
          <cell r="D27">
            <v>0</v>
          </cell>
          <cell r="E27">
            <v>0</v>
          </cell>
          <cell r="F27">
            <v>0</v>
          </cell>
          <cell r="G27">
            <v>0</v>
          </cell>
          <cell r="H27">
            <v>0</v>
          </cell>
          <cell r="I27">
            <v>0</v>
          </cell>
          <cell r="J27">
            <v>0</v>
          </cell>
          <cell r="K27">
            <v>0</v>
          </cell>
          <cell r="L27">
            <v>0</v>
          </cell>
        </row>
      </sheetData>
      <sheetData sheetId="7"/>
      <sheetData sheetId="8">
        <row r="6">
          <cell r="D6">
            <v>1824</v>
          </cell>
        </row>
        <row r="10">
          <cell r="H10">
            <v>0</v>
          </cell>
        </row>
        <row r="11">
          <cell r="H11">
            <v>0</v>
          </cell>
        </row>
        <row r="18">
          <cell r="H18">
            <v>0</v>
          </cell>
        </row>
        <row r="30">
          <cell r="H30">
            <v>12.98</v>
          </cell>
        </row>
        <row r="31">
          <cell r="H31">
            <v>45.69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Datos"/>
      <sheetName val="1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Y55"/>
  <sheetViews>
    <sheetView zoomScale="75" zoomScaleNormal="75" workbookViewId="0" topLeftCell="A1"/>
  </sheetViews>
  <sheetFormatPr defaultColWidth="11.421875" defaultRowHeight="12.75"/>
  <cols>
    <col min="1" max="1" width="63.7109375" style="3" customWidth="1"/>
    <col min="2" max="2" width="86.7109375" style="86" customWidth="1"/>
    <col min="3" max="16384" width="11.421875" style="3" customWidth="1"/>
  </cols>
  <sheetData>
    <row r="1" spans="1:207" ht="60" customHeight="1">
      <c r="A1" s="5"/>
      <c r="B1" s="7" t="str">
        <f>"EJERCICIO    "&amp;Balance!L1</f>
        <v>EJERCICIO    2016</v>
      </c>
      <c r="C1" s="9"/>
      <c r="D1" s="9"/>
      <c r="E1" s="9"/>
      <c r="F1" s="9"/>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6"/>
      <c r="DW1" s="46"/>
      <c r="DX1" s="46"/>
      <c r="DY1" s="46"/>
      <c r="DZ1" s="46"/>
      <c r="EA1" s="46"/>
      <c r="EB1" s="46"/>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row>
    <row r="2" spans="1:207" ht="12.95" customHeight="1" thickBot="1">
      <c r="A2" s="5"/>
      <c r="B2" s="6"/>
      <c r="C2" s="9"/>
      <c r="D2" s="9"/>
      <c r="E2" s="9"/>
      <c r="F2" s="9"/>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row>
    <row r="3" spans="1:207" ht="33" customHeight="1">
      <c r="A3" s="70" t="str">
        <f>"                                            "&amp;"UNIVERSIDADES"</f>
        <v xml:space="preserve">                                            UNIVERSIDADES</v>
      </c>
      <c r="B3" s="10"/>
      <c r="C3" s="9"/>
      <c r="D3" s="9"/>
      <c r="E3" s="9"/>
      <c r="F3" s="9"/>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row>
    <row r="4" spans="1:207" ht="20.1" customHeight="1">
      <c r="A4" s="14" t="str">
        <f>"AGREGADO"</f>
        <v>AGREGADO</v>
      </c>
      <c r="B4" s="74"/>
      <c r="C4" s="9"/>
      <c r="D4" s="9"/>
      <c r="E4" s="9"/>
      <c r="F4" s="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c r="AI4" s="49"/>
      <c r="AJ4" s="49"/>
      <c r="AK4" s="49"/>
      <c r="AL4" s="49"/>
      <c r="AM4" s="49"/>
      <c r="AN4" s="49"/>
      <c r="AO4" s="49"/>
      <c r="AP4" s="49"/>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row>
    <row r="5" spans="1:207" ht="18" customHeight="1" thickBot="1">
      <c r="A5" s="18"/>
      <c r="B5" s="44"/>
      <c r="C5" s="9"/>
      <c r="D5" s="9"/>
      <c r="E5" s="9"/>
      <c r="F5" s="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c r="AI5" s="49"/>
      <c r="AJ5" s="49"/>
      <c r="AK5" s="49"/>
      <c r="AL5" s="49"/>
      <c r="AM5" s="49"/>
      <c r="AN5" s="49"/>
      <c r="AO5" s="49"/>
      <c r="AP5" s="49"/>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row>
    <row r="6" spans="1:207" ht="15" customHeight="1">
      <c r="A6" s="20"/>
      <c r="B6" s="21"/>
      <c r="C6" s="9"/>
      <c r="D6" s="9"/>
      <c r="E6" s="9"/>
      <c r="F6" s="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c r="AO6" s="49"/>
      <c r="AP6" s="49"/>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row>
    <row r="7" spans="1:207" ht="12.95" customHeight="1" thickBot="1">
      <c r="A7" s="20"/>
      <c r="B7" s="21"/>
      <c r="C7" s="21"/>
      <c r="D7" s="21"/>
      <c r="E7" s="21"/>
      <c r="F7" s="51"/>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49"/>
      <c r="AP7" s="49"/>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row>
    <row r="8" spans="1:207" ht="33" customHeight="1">
      <c r="A8" s="75" t="s">
        <v>34</v>
      </c>
      <c r="B8" s="76"/>
      <c r="C8" s="21"/>
      <c r="D8" s="21"/>
      <c r="E8" s="21"/>
      <c r="F8" s="51"/>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row>
    <row r="9" spans="1:207" ht="12.95" customHeight="1">
      <c r="A9" s="21"/>
      <c r="B9" s="21"/>
      <c r="C9" s="21"/>
      <c r="D9" s="21"/>
      <c r="E9" s="21"/>
      <c r="F9" s="51"/>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row>
    <row r="10" spans="1:2" ht="18" customHeight="1">
      <c r="A10" s="1" t="s">
        <v>35</v>
      </c>
      <c r="B10" s="77" t="s">
        <v>417</v>
      </c>
    </row>
    <row r="11" spans="1:2" ht="18" customHeight="1">
      <c r="A11" s="1" t="s">
        <v>36</v>
      </c>
      <c r="B11" s="77" t="s">
        <v>59</v>
      </c>
    </row>
    <row r="12" spans="1:2" ht="18" customHeight="1">
      <c r="A12" s="1" t="s">
        <v>45</v>
      </c>
      <c r="B12" s="77" t="s">
        <v>418</v>
      </c>
    </row>
    <row r="13" spans="1:2" ht="18" customHeight="1">
      <c r="A13" s="1" t="s">
        <v>454</v>
      </c>
      <c r="B13" s="198">
        <f>COUNTA('Entidades agregadas'!A14:A120)</f>
        <v>5</v>
      </c>
    </row>
    <row r="14" spans="1:2" ht="18" customHeight="1">
      <c r="A14" s="1" t="s">
        <v>455</v>
      </c>
      <c r="B14" s="198">
        <v>0</v>
      </c>
    </row>
    <row r="15" spans="1:2" ht="12.95" customHeight="1" thickBot="1">
      <c r="A15" s="78"/>
      <c r="B15" s="79"/>
    </row>
    <row r="16" spans="1:2" ht="12.95" customHeight="1">
      <c r="A16" s="1"/>
      <c r="B16" s="80"/>
    </row>
    <row r="17" spans="1:2" ht="12.95" customHeight="1">
      <c r="A17" s="1"/>
      <c r="B17" s="80"/>
    </row>
    <row r="18" spans="1:2" ht="12.95" customHeight="1">
      <c r="A18" s="1"/>
      <c r="B18" s="80"/>
    </row>
    <row r="19" spans="1:2" ht="12.95" customHeight="1" thickBot="1">
      <c r="A19" s="1"/>
      <c r="B19" s="80"/>
    </row>
    <row r="20" spans="1:2" ht="33" customHeight="1">
      <c r="A20" s="75" t="s">
        <v>37</v>
      </c>
      <c r="B20" s="76"/>
    </row>
    <row r="21" ht="12.95" customHeight="1">
      <c r="B21" s="3"/>
    </row>
    <row r="22" spans="1:2" ht="18" customHeight="1">
      <c r="A22" s="1" t="s">
        <v>38</v>
      </c>
      <c r="B22" s="77" t="s">
        <v>46</v>
      </c>
    </row>
    <row r="23" spans="1:2" ht="18" customHeight="1">
      <c r="A23" s="1" t="s">
        <v>39</v>
      </c>
      <c r="B23" s="77" t="s">
        <v>47</v>
      </c>
    </row>
    <row r="24" spans="1:2" ht="12.95" customHeight="1" thickBot="1">
      <c r="A24" s="78"/>
      <c r="B24" s="79"/>
    </row>
    <row r="25" spans="1:2" ht="12.95" customHeight="1">
      <c r="A25" s="1"/>
      <c r="B25" s="80"/>
    </row>
    <row r="26" spans="1:2" ht="12.95" customHeight="1">
      <c r="A26" s="1"/>
      <c r="B26" s="80"/>
    </row>
    <row r="27" spans="1:2" ht="12.95" customHeight="1">
      <c r="A27" s="1"/>
      <c r="B27" s="80"/>
    </row>
    <row r="28" spans="1:2" ht="12.95" customHeight="1" thickBot="1">
      <c r="A28" s="81"/>
      <c r="B28" s="82"/>
    </row>
    <row r="29" spans="1:2" ht="33" customHeight="1">
      <c r="A29" s="75" t="s">
        <v>40</v>
      </c>
      <c r="B29" s="76"/>
    </row>
    <row r="30" ht="12.95" customHeight="1">
      <c r="B30" s="3"/>
    </row>
    <row r="31" spans="1:2" ht="12.95" customHeight="1">
      <c r="A31" s="83"/>
      <c r="B31" s="224" t="s">
        <v>420</v>
      </c>
    </row>
    <row r="32" spans="1:2" ht="18" customHeight="1">
      <c r="A32" s="83"/>
      <c r="B32" s="224"/>
    </row>
    <row r="33" spans="1:2" ht="18" customHeight="1">
      <c r="A33" s="83"/>
      <c r="B33" s="224"/>
    </row>
    <row r="34" spans="1:2" ht="18" customHeight="1">
      <c r="A34" s="83"/>
      <c r="B34" s="224"/>
    </row>
    <row r="35" spans="1:2" ht="18" customHeight="1">
      <c r="A35" s="83"/>
      <c r="B35" s="224"/>
    </row>
    <row r="36" spans="1:2" ht="18" customHeight="1">
      <c r="A36" s="83"/>
      <c r="B36" s="224"/>
    </row>
    <row r="37" spans="1:2" ht="13.5" customHeight="1" thickBot="1">
      <c r="A37" s="78"/>
      <c r="B37" s="84"/>
    </row>
    <row r="38" spans="1:2" ht="12.95" customHeight="1">
      <c r="A38" s="83"/>
      <c r="B38" s="77"/>
    </row>
    <row r="39" spans="1:2" ht="12.95" customHeight="1">
      <c r="A39" s="83"/>
      <c r="B39" s="77"/>
    </row>
    <row r="40" spans="1:2" ht="12.95" customHeight="1">
      <c r="A40" s="83"/>
      <c r="B40" s="77"/>
    </row>
    <row r="41" spans="1:2" ht="12.95" customHeight="1" thickBot="1">
      <c r="A41" s="83"/>
      <c r="B41" s="82"/>
    </row>
    <row r="42" spans="1:2" ht="33" customHeight="1">
      <c r="A42" s="75" t="s">
        <v>41</v>
      </c>
      <c r="B42" s="76"/>
    </row>
    <row r="43" ht="12.95" customHeight="1">
      <c r="B43" s="3"/>
    </row>
    <row r="44" spans="1:2" ht="18" customHeight="1">
      <c r="A44" s="1"/>
      <c r="B44" s="224" t="s">
        <v>489</v>
      </c>
    </row>
    <row r="45" spans="1:2" ht="18" customHeight="1">
      <c r="A45" s="81"/>
      <c r="B45" s="224"/>
    </row>
    <row r="46" spans="1:2" ht="18" customHeight="1">
      <c r="A46" s="81"/>
      <c r="B46" s="224"/>
    </row>
    <row r="47" spans="1:2" ht="18" customHeight="1">
      <c r="A47" s="81"/>
      <c r="B47" s="224"/>
    </row>
    <row r="48" spans="1:2" ht="18" customHeight="1">
      <c r="A48" s="81"/>
      <c r="B48" s="224"/>
    </row>
    <row r="49" spans="1:2" ht="18" customHeight="1">
      <c r="A49" s="81"/>
      <c r="B49" s="224"/>
    </row>
    <row r="50" spans="1:2" ht="18" customHeight="1">
      <c r="A50" s="81"/>
      <c r="B50" s="224"/>
    </row>
    <row r="51" spans="1:2" ht="18" customHeight="1">
      <c r="A51" s="81"/>
      <c r="B51" s="224"/>
    </row>
    <row r="52" spans="1:2" ht="12.95" customHeight="1" thickBot="1">
      <c r="A52" s="85"/>
      <c r="B52" s="85"/>
    </row>
    <row r="54" ht="18" customHeight="1">
      <c r="A54" s="60" t="s">
        <v>456</v>
      </c>
    </row>
    <row r="55" spans="1:2" ht="18" customHeight="1">
      <c r="A55" s="31" t="s">
        <v>457</v>
      </c>
      <c r="B55" s="31" t="s">
        <v>458</v>
      </c>
    </row>
  </sheetData>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5"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R98"/>
  <sheetViews>
    <sheetView zoomScale="75" zoomScaleNormal="75" workbookViewId="0" topLeftCell="A1"/>
  </sheetViews>
  <sheetFormatPr defaultColWidth="11.421875" defaultRowHeight="12.75"/>
  <cols>
    <col min="1" max="1" width="70.00390625" style="3" customWidth="1"/>
    <col min="2" max="2" width="18.00390625" style="26" customWidth="1"/>
    <col min="3" max="3" width="9.7109375" style="26" customWidth="1"/>
    <col min="4" max="4" width="22.57421875" style="26" hidden="1" customWidth="1"/>
    <col min="5" max="5" width="34.28125" style="26" hidden="1" customWidth="1"/>
    <col min="6" max="6" width="23.421875" style="26" hidden="1" customWidth="1"/>
    <col min="7" max="7" width="19.421875" style="26" hidden="1" customWidth="1"/>
    <col min="8" max="8" width="30.421875" style="26" hidden="1" customWidth="1"/>
    <col min="9" max="9" width="3.28125" style="3" customWidth="1"/>
    <col min="10" max="10" width="66.28125" style="3" customWidth="1"/>
    <col min="11" max="11" width="18.00390625" style="26" customWidth="1"/>
    <col min="12" max="12" width="9.7109375" style="3" customWidth="1"/>
    <col min="13" max="13" width="22.57421875" style="3" hidden="1" customWidth="1"/>
    <col min="14" max="14" width="34.28125" style="3" hidden="1" customWidth="1"/>
    <col min="15" max="15" width="23.421875" style="3" hidden="1" customWidth="1"/>
    <col min="16" max="16" width="19.421875" style="3" hidden="1" customWidth="1"/>
    <col min="17" max="17" width="30.421875" style="3" hidden="1" customWidth="1"/>
    <col min="18" max="16384" width="11.421875" style="3" customWidth="1"/>
  </cols>
  <sheetData>
    <row r="1" spans="1:12" s="2" customFormat="1" ht="60" customHeight="1">
      <c r="A1" s="5"/>
      <c r="B1" s="6"/>
      <c r="C1" s="6"/>
      <c r="D1" s="6"/>
      <c r="E1" s="6"/>
      <c r="F1" s="6"/>
      <c r="G1" s="6"/>
      <c r="H1" s="6"/>
      <c r="I1" s="6"/>
      <c r="J1" s="6"/>
      <c r="K1" s="7" t="s">
        <v>9</v>
      </c>
      <c r="L1" s="8">
        <v>2016</v>
      </c>
    </row>
    <row r="2" spans="1:12" s="2" customFormat="1" ht="12.95" customHeight="1" thickBot="1">
      <c r="A2" s="5"/>
      <c r="B2" s="6"/>
      <c r="C2" s="6"/>
      <c r="D2" s="6"/>
      <c r="E2" s="6"/>
      <c r="F2" s="6"/>
      <c r="G2" s="6"/>
      <c r="H2" s="6"/>
      <c r="I2" s="6"/>
      <c r="J2" s="6"/>
      <c r="K2" s="9"/>
      <c r="L2" s="9"/>
    </row>
    <row r="3" spans="1:12" s="2" customFormat="1" ht="33" customHeight="1">
      <c r="A3" s="70" t="str">
        <f>"                                            "&amp;"UNIVERSIDADES"</f>
        <v xml:space="preserve">                                            UNIVERSIDADES</v>
      </c>
      <c r="B3" s="10"/>
      <c r="C3" s="10"/>
      <c r="D3" s="10"/>
      <c r="E3" s="10"/>
      <c r="F3" s="10"/>
      <c r="G3" s="10"/>
      <c r="H3" s="10"/>
      <c r="I3" s="11"/>
      <c r="J3" s="11"/>
      <c r="K3" s="12"/>
      <c r="L3" s="13"/>
    </row>
    <row r="4" spans="1:12" s="2" customFormat="1" ht="20.1" customHeight="1">
      <c r="A4" s="14" t="str">
        <f>"AGREGADO"</f>
        <v>AGREGADO</v>
      </c>
      <c r="B4" s="15"/>
      <c r="C4" s="15"/>
      <c r="D4" s="15"/>
      <c r="E4" s="15"/>
      <c r="F4" s="15"/>
      <c r="G4" s="15"/>
      <c r="H4" s="15"/>
      <c r="I4" s="14"/>
      <c r="J4" s="14"/>
      <c r="K4" s="16"/>
      <c r="L4" s="17"/>
    </row>
    <row r="5" spans="1:12" s="2" customFormat="1" ht="18" customHeight="1" thickBot="1">
      <c r="A5" s="18"/>
      <c r="B5" s="19"/>
      <c r="C5" s="19"/>
      <c r="D5" s="19"/>
      <c r="E5" s="19"/>
      <c r="F5" s="19"/>
      <c r="G5" s="19"/>
      <c r="H5" s="19"/>
      <c r="I5" s="19"/>
      <c r="J5" s="71" t="str">
        <f>"Población a 01/01/"&amp;L1</f>
        <v>Población a 01/01/2016</v>
      </c>
      <c r="K5" s="225">
        <v>4959968</v>
      </c>
      <c r="L5" s="225"/>
    </row>
    <row r="6" spans="1:12" s="2" customFormat="1" ht="15" customHeight="1">
      <c r="A6" s="20"/>
      <c r="B6" s="21"/>
      <c r="C6" s="21"/>
      <c r="D6" s="21"/>
      <c r="E6" s="21"/>
      <c r="F6" s="21"/>
      <c r="G6" s="21"/>
      <c r="H6" s="21"/>
      <c r="I6" s="21"/>
      <c r="J6" s="22"/>
      <c r="K6" s="16"/>
      <c r="L6" s="16"/>
    </row>
    <row r="7" spans="1:12" s="2" customFormat="1" ht="12.95" customHeight="1">
      <c r="A7" s="20"/>
      <c r="B7" s="21"/>
      <c r="C7" s="21"/>
      <c r="D7" s="21"/>
      <c r="E7" s="21"/>
      <c r="F7" s="21"/>
      <c r="G7" s="21"/>
      <c r="H7" s="21"/>
      <c r="I7" s="21"/>
      <c r="J7" s="21"/>
      <c r="K7" s="21"/>
      <c r="L7" s="21"/>
    </row>
    <row r="8" spans="1:12" s="2" customFormat="1" ht="21" customHeight="1">
      <c r="A8" s="23" t="s">
        <v>13</v>
      </c>
      <c r="B8" s="21"/>
      <c r="C8" s="21"/>
      <c r="D8" s="21"/>
      <c r="E8" s="21"/>
      <c r="F8" s="21"/>
      <c r="G8" s="21"/>
      <c r="H8" s="21"/>
      <c r="I8" s="21"/>
      <c r="J8" s="21"/>
      <c r="K8" s="21"/>
      <c r="L8" s="21"/>
    </row>
    <row r="9" spans="1:12" s="2" customFormat="1" ht="18" customHeight="1">
      <c r="A9" s="24"/>
      <c r="B9" s="21"/>
      <c r="C9" s="21"/>
      <c r="D9" s="21"/>
      <c r="E9" s="21"/>
      <c r="F9" s="21"/>
      <c r="G9" s="21"/>
      <c r="H9" s="21"/>
      <c r="I9" s="21"/>
      <c r="J9" s="21"/>
      <c r="K9" s="21"/>
      <c r="L9" s="21"/>
    </row>
    <row r="10" spans="1:17" s="2" customFormat="1" ht="12.95" customHeight="1">
      <c r="A10" s="23"/>
      <c r="B10" s="21"/>
      <c r="C10" s="21"/>
      <c r="D10" s="41">
        <v>21500</v>
      </c>
      <c r="E10" s="41">
        <v>21501</v>
      </c>
      <c r="F10" s="41">
        <v>21502</v>
      </c>
      <c r="G10" s="41">
        <v>21503</v>
      </c>
      <c r="H10" s="41">
        <v>21504</v>
      </c>
      <c r="I10" s="21"/>
      <c r="J10" s="21"/>
      <c r="K10" s="21"/>
      <c r="L10" s="21"/>
      <c r="M10" s="41">
        <v>21500</v>
      </c>
      <c r="N10" s="41">
        <v>21501</v>
      </c>
      <c r="O10" s="41">
        <v>21502</v>
      </c>
      <c r="P10" s="41">
        <v>21503</v>
      </c>
      <c r="Q10" s="41">
        <v>21504</v>
      </c>
    </row>
    <row r="11" spans="1:17" ht="18" customHeight="1" thickBot="1">
      <c r="A11" s="25" t="s">
        <v>10</v>
      </c>
      <c r="B11" s="17"/>
      <c r="C11" s="17"/>
      <c r="D11" s="41" t="s">
        <v>484</v>
      </c>
      <c r="E11" s="41" t="s">
        <v>484</v>
      </c>
      <c r="F11" s="41" t="s">
        <v>484</v>
      </c>
      <c r="G11" s="41" t="s">
        <v>484</v>
      </c>
      <c r="H11" s="41" t="s">
        <v>484</v>
      </c>
      <c r="I11" s="21"/>
      <c r="J11" s="17"/>
      <c r="K11" s="3"/>
      <c r="L11" s="26"/>
      <c r="M11" s="41" t="s">
        <v>484</v>
      </c>
      <c r="N11" s="41" t="s">
        <v>484</v>
      </c>
      <c r="O11" s="41" t="s">
        <v>484</v>
      </c>
      <c r="P11" s="41" t="s">
        <v>484</v>
      </c>
      <c r="Q11" s="41" t="s">
        <v>484</v>
      </c>
    </row>
    <row r="12" spans="1:17" ht="33" customHeight="1">
      <c r="A12" s="27" t="s">
        <v>11</v>
      </c>
      <c r="B12" s="28">
        <f>L1</f>
        <v>2016</v>
      </c>
      <c r="C12" s="29" t="s">
        <v>12</v>
      </c>
      <c r="D12" s="41" t="s">
        <v>0</v>
      </c>
      <c r="E12" s="41" t="s">
        <v>1</v>
      </c>
      <c r="F12" s="41" t="s">
        <v>2</v>
      </c>
      <c r="G12" s="41" t="s">
        <v>3</v>
      </c>
      <c r="H12" s="41" t="s">
        <v>4</v>
      </c>
      <c r="I12" s="21"/>
      <c r="J12" s="27" t="s">
        <v>146</v>
      </c>
      <c r="K12" s="28">
        <f>L1</f>
        <v>2016</v>
      </c>
      <c r="L12" s="29" t="s">
        <v>12</v>
      </c>
      <c r="M12" s="41" t="s">
        <v>0</v>
      </c>
      <c r="N12" s="41" t="s">
        <v>1</v>
      </c>
      <c r="O12" s="41" t="s">
        <v>2</v>
      </c>
      <c r="P12" s="41" t="s">
        <v>3</v>
      </c>
      <c r="Q12" s="41" t="s">
        <v>4</v>
      </c>
    </row>
    <row r="13" spans="1:17" s="32" customFormat="1" ht="18" customHeight="1">
      <c r="A13" s="206" t="s">
        <v>60</v>
      </c>
      <c r="B13" s="207">
        <f aca="true" t="shared" si="0" ref="B13:B61">SUM(D13:H13)</f>
        <v>2303753435.79</v>
      </c>
      <c r="C13" s="208">
        <f aca="true" t="shared" si="1" ref="C13:C45">IF((B13/$B$64)=0,"--",B13/$B$64)</f>
        <v>0.7944173783750278</v>
      </c>
      <c r="D13" s="43">
        <f>'[1]1100'!$D3</f>
        <v>776631150.1899999</v>
      </c>
      <c r="E13" s="43">
        <f>'[2]1100'!$D3</f>
        <v>770857082.4999999</v>
      </c>
      <c r="F13" s="43">
        <f>'[3]1100'!$D3</f>
        <v>223191813.9</v>
      </c>
      <c r="G13" s="43">
        <f>'[4]1100'!$D3</f>
        <v>230866607.06999996</v>
      </c>
      <c r="H13" s="43">
        <f>'[5]1100'!$D3</f>
        <v>302206782.13</v>
      </c>
      <c r="I13" s="31"/>
      <c r="J13" s="206" t="s">
        <v>107</v>
      </c>
      <c r="K13" s="207">
        <f aca="true" t="shared" si="2" ref="K13:K60">SUM(M13:Q13)</f>
        <v>2119345103.4499998</v>
      </c>
      <c r="L13" s="208">
        <f>IF((K13/$K$64)=0,"",(K13/$K$64))</f>
        <v>0.7308267259848266</v>
      </c>
      <c r="M13" s="42">
        <f>'[1]1100'!$L3</f>
        <v>623140290.9999999</v>
      </c>
      <c r="N13" s="42">
        <f>'[2]1100'!$L3</f>
        <v>657495303.41</v>
      </c>
      <c r="O13" s="42">
        <f>'[3]1100'!$L3</f>
        <v>217060211.94</v>
      </c>
      <c r="P13" s="42">
        <f>'[4]1100'!$L3</f>
        <v>239195228.76999998</v>
      </c>
      <c r="Q13" s="42">
        <f>'[5]1100'!$L3</f>
        <v>382454068.33</v>
      </c>
    </row>
    <row r="14" spans="1:17" s="32" customFormat="1" ht="18" customHeight="1">
      <c r="A14" s="60" t="s">
        <v>61</v>
      </c>
      <c r="B14" s="33">
        <f t="shared" si="0"/>
        <v>35511.8</v>
      </c>
      <c r="C14" s="34">
        <f t="shared" si="1"/>
        <v>1.2245751050916685E-05</v>
      </c>
      <c r="D14" s="43">
        <f>'[1]1100'!$D4</f>
        <v>0</v>
      </c>
      <c r="E14" s="43">
        <f>'[2]1100'!$D4</f>
        <v>0</v>
      </c>
      <c r="F14" s="43">
        <f>'[3]1100'!$D4</f>
        <v>0</v>
      </c>
      <c r="G14" s="43">
        <f>'[4]1100'!$D4</f>
        <v>0</v>
      </c>
      <c r="H14" s="43">
        <f>'[5]1100'!$D4</f>
        <v>35511.8</v>
      </c>
      <c r="I14" s="31"/>
      <c r="J14" s="4" t="s">
        <v>108</v>
      </c>
      <c r="K14" s="33">
        <f t="shared" si="2"/>
        <v>1832351925.2899997</v>
      </c>
      <c r="L14" s="34">
        <f aca="true" t="shared" si="3" ref="L14:L39">IF((K14/$K$64)=0,"--",K14/$K$64)</f>
        <v>0.6318611141865301</v>
      </c>
      <c r="M14" s="42">
        <f>'[1]1100'!$L4</f>
        <v>615772369.2499999</v>
      </c>
      <c r="N14" s="42">
        <f>'[2]1100'!$L4</f>
        <v>665550420.31</v>
      </c>
      <c r="O14" s="42">
        <f>'[3]1100'!$L4</f>
        <v>240179273.10999998</v>
      </c>
      <c r="P14" s="42">
        <f>'[4]1100'!$L4</f>
        <v>234335248.11999997</v>
      </c>
      <c r="Q14" s="42">
        <f>'[5]1100'!$L4</f>
        <v>76514614.5</v>
      </c>
    </row>
    <row r="15" spans="1:17" s="32" customFormat="1" ht="18" customHeight="1">
      <c r="A15" s="31" t="s">
        <v>62</v>
      </c>
      <c r="B15" s="107">
        <f t="shared" si="0"/>
        <v>0</v>
      </c>
      <c r="C15" s="35" t="str">
        <f t="shared" si="1"/>
        <v>--</v>
      </c>
      <c r="D15" s="43">
        <f>'[1]1100'!$D5</f>
        <v>0</v>
      </c>
      <c r="E15" s="43">
        <f>'[2]1100'!$D5</f>
        <v>0</v>
      </c>
      <c r="F15" s="43">
        <f>'[3]1100'!$D5</f>
        <v>0</v>
      </c>
      <c r="G15" s="43">
        <f>'[4]1100'!$D5</f>
        <v>0</v>
      </c>
      <c r="H15" s="43">
        <f>'[5]1100'!$D5</f>
        <v>0</v>
      </c>
      <c r="I15" s="31"/>
      <c r="J15" s="31" t="s">
        <v>109</v>
      </c>
      <c r="K15" s="107">
        <f t="shared" si="2"/>
        <v>1766364947.92</v>
      </c>
      <c r="L15" s="35">
        <f t="shared" si="3"/>
        <v>0.6091064214512848</v>
      </c>
      <c r="M15" s="42">
        <f>'[1]1100'!$L5</f>
        <v>629714162.66</v>
      </c>
      <c r="N15" s="42">
        <f>'[2]1100'!$L5</f>
        <v>664913847.53</v>
      </c>
      <c r="O15" s="42">
        <f>'[3]1100'!$L5</f>
        <v>240100126.56</v>
      </c>
      <c r="P15" s="42">
        <f>'[4]1100'!$L5</f>
        <v>231636811.17</v>
      </c>
      <c r="Q15" s="42">
        <f>'[5]1100'!$L5</f>
        <v>0</v>
      </c>
    </row>
    <row r="16" spans="1:17" s="32" customFormat="1" ht="18" customHeight="1">
      <c r="A16" s="31" t="s">
        <v>63</v>
      </c>
      <c r="B16" s="107">
        <f t="shared" si="0"/>
        <v>0</v>
      </c>
      <c r="C16" s="35" t="str">
        <f t="shared" si="1"/>
        <v>--</v>
      </c>
      <c r="D16" s="43">
        <f>'[1]1100'!$D6</f>
        <v>0</v>
      </c>
      <c r="E16" s="43">
        <f>'[2]1100'!$D6</f>
        <v>0</v>
      </c>
      <c r="F16" s="43">
        <f>'[3]1100'!$D6</f>
        <v>0</v>
      </c>
      <c r="G16" s="43">
        <f>'[4]1100'!$D6</f>
        <v>0</v>
      </c>
      <c r="H16" s="43">
        <f>'[5]1100'!$D6</f>
        <v>0</v>
      </c>
      <c r="I16" s="31"/>
      <c r="J16" s="31" t="s">
        <v>110</v>
      </c>
      <c r="K16" s="107">
        <f t="shared" si="2"/>
        <v>42082845</v>
      </c>
      <c r="L16" s="35">
        <f t="shared" si="3"/>
        <v>0.014511684662121152</v>
      </c>
      <c r="M16" s="42">
        <f>'[1]1100'!$L6</f>
        <v>0</v>
      </c>
      <c r="N16" s="42">
        <f>'[2]1100'!$L6</f>
        <v>0</v>
      </c>
      <c r="O16" s="42">
        <f>'[3]1100'!$L6</f>
        <v>0</v>
      </c>
      <c r="P16" s="42">
        <f>'[4]1100'!$L6</f>
        <v>0</v>
      </c>
      <c r="Q16" s="42">
        <f>'[5]1100'!$L6</f>
        <v>42082845</v>
      </c>
    </row>
    <row r="17" spans="1:17" s="32" customFormat="1" ht="18" customHeight="1">
      <c r="A17" s="31" t="s">
        <v>64</v>
      </c>
      <c r="B17" s="107">
        <f t="shared" si="0"/>
        <v>0</v>
      </c>
      <c r="C17" s="35" t="str">
        <f t="shared" si="1"/>
        <v>--</v>
      </c>
      <c r="D17" s="43">
        <f>'[1]1100'!$D7</f>
        <v>0</v>
      </c>
      <c r="E17" s="43">
        <f>'[2]1100'!$D7</f>
        <v>0</v>
      </c>
      <c r="F17" s="43">
        <f>'[3]1100'!$D7</f>
        <v>0</v>
      </c>
      <c r="G17" s="43">
        <f>'[4]1100'!$D7</f>
        <v>0</v>
      </c>
      <c r="H17" s="43">
        <f>'[5]1100'!$D7</f>
        <v>0</v>
      </c>
      <c r="I17" s="31"/>
      <c r="J17" s="31" t="s">
        <v>111</v>
      </c>
      <c r="K17" s="107">
        <f t="shared" si="2"/>
        <v>45116301.03</v>
      </c>
      <c r="L17" s="35">
        <f t="shared" si="3"/>
        <v>0.015557729846180592</v>
      </c>
      <c r="M17" s="42">
        <f>'[1]1100'!$L7</f>
        <v>4613348.3</v>
      </c>
      <c r="N17" s="42">
        <f>'[2]1100'!$L7</f>
        <v>636572.78</v>
      </c>
      <c r="O17" s="42">
        <f>'[3]1100'!$L7</f>
        <v>1139820.17</v>
      </c>
      <c r="P17" s="42">
        <f>'[4]1100'!$L7</f>
        <v>2698436.95</v>
      </c>
      <c r="Q17" s="42">
        <f>'[5]1100'!$L7</f>
        <v>36028122.83</v>
      </c>
    </row>
    <row r="18" spans="1:17" s="32" customFormat="1" ht="18" customHeight="1">
      <c r="A18" s="31" t="s">
        <v>65</v>
      </c>
      <c r="B18" s="107">
        <f t="shared" si="0"/>
        <v>35511.8</v>
      </c>
      <c r="C18" s="35">
        <f t="shared" si="1"/>
        <v>1.2245751050916685E-05</v>
      </c>
      <c r="D18" s="43">
        <f>'[1]1100'!$D8</f>
        <v>0</v>
      </c>
      <c r="E18" s="43">
        <f>'[2]1100'!$D8</f>
        <v>0</v>
      </c>
      <c r="F18" s="43">
        <f>'[3]1100'!$D8</f>
        <v>0</v>
      </c>
      <c r="G18" s="43">
        <f>'[4]1100'!$D8</f>
        <v>0</v>
      </c>
      <c r="H18" s="43">
        <f>'[5]1100'!$D8</f>
        <v>35511.8</v>
      </c>
      <c r="I18" s="31"/>
      <c r="J18" s="31" t="s">
        <v>112</v>
      </c>
      <c r="K18" s="107">
        <f t="shared" si="2"/>
        <v>0</v>
      </c>
      <c r="L18" s="35" t="str">
        <f t="shared" si="3"/>
        <v>--</v>
      </c>
      <c r="M18" s="42">
        <f>'[1]1100'!$L8</f>
        <v>0</v>
      </c>
      <c r="N18" s="42">
        <f>'[2]1100'!$L8</f>
        <v>0</v>
      </c>
      <c r="O18" s="42">
        <f>'[3]1100'!$L8</f>
        <v>0</v>
      </c>
      <c r="P18" s="42">
        <f>'[4]1100'!$L8</f>
        <v>0</v>
      </c>
      <c r="Q18" s="42">
        <f>'[5]1100'!$L8</f>
        <v>0</v>
      </c>
    </row>
    <row r="19" spans="1:17" s="32" customFormat="1" ht="18" customHeight="1">
      <c r="A19" s="31" t="s">
        <v>453</v>
      </c>
      <c r="B19" s="107">
        <f t="shared" si="0"/>
        <v>0</v>
      </c>
      <c r="C19" s="35" t="str">
        <f t="shared" si="1"/>
        <v>--</v>
      </c>
      <c r="D19" s="43">
        <f>'[1]1100'!$D9</f>
        <v>0</v>
      </c>
      <c r="E19" s="43">
        <f>'[2]1100'!$D9</f>
        <v>0</v>
      </c>
      <c r="F19" s="43">
        <f>'[3]1100'!$D9</f>
        <v>0</v>
      </c>
      <c r="G19" s="43">
        <f>'[4]1100'!$D9</f>
        <v>0</v>
      </c>
      <c r="H19" s="43">
        <f>'[5]1100'!$D9</f>
        <v>0</v>
      </c>
      <c r="I19" s="31"/>
      <c r="J19" s="31" t="s">
        <v>113</v>
      </c>
      <c r="K19" s="36">
        <f t="shared" si="2"/>
        <v>-19615815.330000002</v>
      </c>
      <c r="L19" s="35">
        <f t="shared" si="3"/>
        <v>-0.006764241496965378</v>
      </c>
      <c r="M19" s="42">
        <f>'[1]1100'!$L9</f>
        <v>-18555141.71</v>
      </c>
      <c r="N19" s="42">
        <f>'[2]1100'!$L9</f>
        <v>0</v>
      </c>
      <c r="O19" s="42">
        <f>'[3]1100'!$L9</f>
        <v>-1060673.62</v>
      </c>
      <c r="P19" s="42">
        <f>'[4]1100'!$L9</f>
        <v>0</v>
      </c>
      <c r="Q19" s="42">
        <f>'[5]1100'!$L9</f>
        <v>0</v>
      </c>
    </row>
    <row r="20" spans="1:17" s="32" customFormat="1" ht="18" customHeight="1">
      <c r="A20" s="60" t="s">
        <v>66</v>
      </c>
      <c r="B20" s="33">
        <f t="shared" si="0"/>
        <v>10551143.629999995</v>
      </c>
      <c r="C20" s="34">
        <f t="shared" si="1"/>
        <v>0.0036384153491359297</v>
      </c>
      <c r="D20" s="43">
        <f>'[1]1100'!$D10</f>
        <v>7051354.529999994</v>
      </c>
      <c r="E20" s="43">
        <f>'[2]1100'!$D10</f>
        <v>1298788.0500000007</v>
      </c>
      <c r="F20" s="43">
        <f>'[3]1100'!$D10</f>
        <v>152268.9099999998</v>
      </c>
      <c r="G20" s="43">
        <f>'[4]1100'!$D10</f>
        <v>556809.2300000004</v>
      </c>
      <c r="H20" s="43">
        <f>'[5]1100'!$D10</f>
        <v>1491922.9100000006</v>
      </c>
      <c r="I20" s="31"/>
      <c r="J20" s="31" t="s">
        <v>114</v>
      </c>
      <c r="K20" s="107">
        <f t="shared" si="2"/>
        <v>-1596353.33</v>
      </c>
      <c r="L20" s="35">
        <f t="shared" si="3"/>
        <v>-0.0005504802760908162</v>
      </c>
      <c r="M20" s="42">
        <f>'[1]1100'!$L10</f>
        <v>0</v>
      </c>
      <c r="N20" s="42">
        <f>'[2]1100'!$L10</f>
        <v>0</v>
      </c>
      <c r="O20" s="42">
        <f>'[3]1100'!$L10</f>
        <v>0</v>
      </c>
      <c r="P20" s="42">
        <f>'[4]1100'!$L10</f>
        <v>0</v>
      </c>
      <c r="Q20" s="42">
        <f>'[5]1100'!$L10</f>
        <v>-1596353.33</v>
      </c>
    </row>
    <row r="21" spans="1:17" s="32" customFormat="1" ht="18" customHeight="1">
      <c r="A21" s="31" t="s">
        <v>67</v>
      </c>
      <c r="B21" s="107">
        <f t="shared" si="0"/>
        <v>3088117.87</v>
      </c>
      <c r="C21" s="35">
        <f t="shared" si="1"/>
        <v>0.0010648945604533448</v>
      </c>
      <c r="D21" s="43">
        <f>'[1]1100'!$D11</f>
        <v>0</v>
      </c>
      <c r="E21" s="43">
        <f>'[2]1100'!$D11</f>
        <v>0</v>
      </c>
      <c r="F21" s="43">
        <f>'[3]1100'!$D11</f>
        <v>0</v>
      </c>
      <c r="G21" s="43">
        <f>'[4]1100'!$D11</f>
        <v>0</v>
      </c>
      <c r="H21" s="43">
        <f>'[5]1100'!$D11</f>
        <v>3088117.87</v>
      </c>
      <c r="I21" s="31"/>
      <c r="J21" s="4" t="s">
        <v>115</v>
      </c>
      <c r="K21" s="109">
        <f t="shared" si="2"/>
        <v>0</v>
      </c>
      <c r="L21" s="34" t="str">
        <f t="shared" si="3"/>
        <v>--</v>
      </c>
      <c r="M21" s="42">
        <f>'[1]1100'!$L11</f>
        <v>0</v>
      </c>
      <c r="N21" s="42">
        <f>'[2]1100'!$L11</f>
        <v>0</v>
      </c>
      <c r="O21" s="42">
        <f>'[3]1100'!$L11</f>
        <v>0</v>
      </c>
      <c r="P21" s="42">
        <f>'[4]1100'!$L11</f>
        <v>0</v>
      </c>
      <c r="Q21" s="42">
        <f>'[5]1100'!$L11</f>
        <v>0</v>
      </c>
    </row>
    <row r="22" spans="1:17" s="32" customFormat="1" ht="18" customHeight="1">
      <c r="A22" s="31" t="s">
        <v>68</v>
      </c>
      <c r="B22" s="107">
        <f t="shared" si="0"/>
        <v>216480.03</v>
      </c>
      <c r="C22" s="35">
        <f t="shared" si="1"/>
        <v>7.465013192445821E-05</v>
      </c>
      <c r="D22" s="43">
        <f>'[1]1100'!$D12</f>
        <v>0</v>
      </c>
      <c r="E22" s="43">
        <f>'[2]1100'!$D12</f>
        <v>0</v>
      </c>
      <c r="F22" s="43">
        <f>'[3]1100'!$D12</f>
        <v>0</v>
      </c>
      <c r="G22" s="43">
        <f>'[4]1100'!$D12</f>
        <v>0</v>
      </c>
      <c r="H22" s="43">
        <f>'[5]1100'!$D12</f>
        <v>216480.03</v>
      </c>
      <c r="I22" s="31"/>
      <c r="J22" s="4" t="s">
        <v>116</v>
      </c>
      <c r="K22" s="109">
        <f t="shared" si="2"/>
        <v>302243414.89</v>
      </c>
      <c r="L22" s="34">
        <f t="shared" si="3"/>
        <v>0.10422444414312607</v>
      </c>
      <c r="M22" s="42">
        <f>'[1]1100'!$L12</f>
        <v>0</v>
      </c>
      <c r="N22" s="42">
        <f>'[2]1100'!$L12</f>
        <v>0</v>
      </c>
      <c r="O22" s="42">
        <f>'[3]1100'!$L12</f>
        <v>0</v>
      </c>
      <c r="P22" s="42">
        <f>'[4]1100'!$L12</f>
        <v>0</v>
      </c>
      <c r="Q22" s="42">
        <f>'[5]1100'!$L12</f>
        <v>302243414.89</v>
      </c>
    </row>
    <row r="23" spans="1:17" s="32" customFormat="1" ht="18" customHeight="1">
      <c r="A23" s="31" t="s">
        <v>69</v>
      </c>
      <c r="B23" s="107">
        <f t="shared" si="0"/>
        <v>45507545.17</v>
      </c>
      <c r="C23" s="35">
        <f t="shared" si="1"/>
        <v>0.015692644954357873</v>
      </c>
      <c r="D23" s="43">
        <f>'[1]1100'!$D13</f>
        <v>17577544.56</v>
      </c>
      <c r="E23" s="43">
        <f>'[2]1100'!$D13</f>
        <v>16428610.47</v>
      </c>
      <c r="F23" s="43">
        <f>'[3]1100'!$D13</f>
        <v>2853146.15</v>
      </c>
      <c r="G23" s="43">
        <f>'[4]1100'!$D13</f>
        <v>6234936.15</v>
      </c>
      <c r="H23" s="43">
        <f>'[5]1100'!$D13</f>
        <v>2413307.84</v>
      </c>
      <c r="I23" s="31"/>
      <c r="J23" s="1" t="s">
        <v>117</v>
      </c>
      <c r="K23" s="107">
        <f t="shared" si="2"/>
        <v>302243414.89</v>
      </c>
      <c r="L23" s="35">
        <f t="shared" si="3"/>
        <v>0.10422444414312607</v>
      </c>
      <c r="M23" s="42">
        <f>'[1]1100'!$L13</f>
        <v>0</v>
      </c>
      <c r="N23" s="42">
        <f>'[2]1100'!$L13</f>
        <v>0</v>
      </c>
      <c r="O23" s="42">
        <f>'[3]1100'!$L13</f>
        <v>0</v>
      </c>
      <c r="P23" s="42">
        <f>'[4]1100'!$L13</f>
        <v>0</v>
      </c>
      <c r="Q23" s="42">
        <f>'[5]1100'!$L13</f>
        <v>302243414.89</v>
      </c>
    </row>
    <row r="24" spans="1:17" s="32" customFormat="1" ht="18" customHeight="1">
      <c r="A24" s="31" t="s">
        <v>70</v>
      </c>
      <c r="B24" s="107">
        <f t="shared" si="0"/>
        <v>2879.04</v>
      </c>
      <c r="C24" s="35">
        <f t="shared" si="1"/>
        <v>9.927969606055217E-07</v>
      </c>
      <c r="D24" s="43">
        <f>'[1]1100'!$D14</f>
        <v>1673.22</v>
      </c>
      <c r="E24" s="43">
        <f>'[2]1100'!$D14</f>
        <v>0</v>
      </c>
      <c r="F24" s="43">
        <f>'[3]1100'!$D14</f>
        <v>0</v>
      </c>
      <c r="G24" s="43">
        <f>'[4]1100'!$D14</f>
        <v>0</v>
      </c>
      <c r="H24" s="43">
        <f>'[5]1100'!$D14</f>
        <v>1205.82</v>
      </c>
      <c r="I24" s="31"/>
      <c r="J24" s="1" t="s">
        <v>118</v>
      </c>
      <c r="K24" s="107">
        <f t="shared" si="2"/>
        <v>0</v>
      </c>
      <c r="L24" s="35" t="str">
        <f t="shared" si="3"/>
        <v>--</v>
      </c>
      <c r="M24" s="42">
        <f>'[1]1100'!$L14</f>
        <v>0</v>
      </c>
      <c r="N24" s="42">
        <f>'[2]1100'!$L14</f>
        <v>0</v>
      </c>
      <c r="O24" s="42">
        <f>'[3]1100'!$L14</f>
        <v>0</v>
      </c>
      <c r="P24" s="42">
        <f>'[4]1100'!$L14</f>
        <v>0</v>
      </c>
      <c r="Q24" s="42">
        <f>'[5]1100'!$L14</f>
        <v>0</v>
      </c>
    </row>
    <row r="25" spans="1:17" s="32" customFormat="1" ht="18" customHeight="1">
      <c r="A25" s="31" t="s">
        <v>71</v>
      </c>
      <c r="B25" s="107">
        <f t="shared" si="0"/>
        <v>9101303.67</v>
      </c>
      <c r="C25" s="35">
        <f t="shared" si="1"/>
        <v>0.003138458173948219</v>
      </c>
      <c r="D25" s="43">
        <f>'[1]1100'!$D15</f>
        <v>9101303.67</v>
      </c>
      <c r="E25" s="43">
        <f>'[2]1100'!$D15</f>
        <v>0</v>
      </c>
      <c r="F25" s="43">
        <f>'[3]1100'!$D15</f>
        <v>0</v>
      </c>
      <c r="G25" s="43">
        <f>'[4]1100'!$D15</f>
        <v>0</v>
      </c>
      <c r="H25" s="43">
        <f>'[5]1100'!$D15</f>
        <v>0</v>
      </c>
      <c r="I25" s="31"/>
      <c r="J25" s="4" t="s">
        <v>119</v>
      </c>
      <c r="K25" s="109">
        <f t="shared" si="2"/>
        <v>-15250236.730000002</v>
      </c>
      <c r="L25" s="34">
        <f t="shared" si="3"/>
        <v>-0.005258832344829768</v>
      </c>
      <c r="M25" s="42">
        <f>'[1]1100'!$L15</f>
        <v>7367921.75</v>
      </c>
      <c r="N25" s="42">
        <f>'[2]1100'!$L15</f>
        <v>-8055116.9</v>
      </c>
      <c r="O25" s="42">
        <f>'[3]1100'!$L15</f>
        <v>-23119061.17</v>
      </c>
      <c r="P25" s="42">
        <f>'[4]1100'!$L15</f>
        <v>4859980.65</v>
      </c>
      <c r="Q25" s="42">
        <f>'[5]1100'!$L15</f>
        <v>3696038.94</v>
      </c>
    </row>
    <row r="26" spans="1:17" s="32" customFormat="1" ht="18" customHeight="1">
      <c r="A26" s="31" t="s">
        <v>72</v>
      </c>
      <c r="B26" s="107">
        <f t="shared" si="0"/>
        <v>-47920376.38</v>
      </c>
      <c r="C26" s="35">
        <f t="shared" si="1"/>
        <v>-0.016524676288324106</v>
      </c>
      <c r="D26" s="43">
        <f>'[1]1100'!$D16</f>
        <v>-19629166.92</v>
      </c>
      <c r="E26" s="43">
        <f>'[2]1100'!$D16</f>
        <v>-15129822.42</v>
      </c>
      <c r="F26" s="43">
        <f>'[3]1100'!$D16</f>
        <v>-2701400.12</v>
      </c>
      <c r="G26" s="43">
        <f>'[4]1100'!$D16</f>
        <v>-5678126.92</v>
      </c>
      <c r="H26" s="43">
        <f>'[5]1100'!$D16</f>
        <v>-4781860</v>
      </c>
      <c r="I26" s="31"/>
      <c r="J26" s="206" t="s">
        <v>6</v>
      </c>
      <c r="K26" s="207">
        <f t="shared" si="2"/>
        <v>98864476.25</v>
      </c>
      <c r="L26" s="208">
        <f t="shared" si="3"/>
        <v>0.03409204162945176</v>
      </c>
      <c r="M26" s="42">
        <f>'[1]1100'!$L16</f>
        <v>94838165.27</v>
      </c>
      <c r="N26" s="42">
        <f>'[2]1100'!$L16</f>
        <v>0</v>
      </c>
      <c r="O26" s="42">
        <f>'[3]1100'!$L16</f>
        <v>0</v>
      </c>
      <c r="P26" s="42">
        <f>'[4]1100'!$L16</f>
        <v>4026310.98</v>
      </c>
      <c r="Q26" s="42">
        <f>'[5]1100'!$L16</f>
        <v>0</v>
      </c>
    </row>
    <row r="27" spans="1:17" s="32" customFormat="1" ht="18" customHeight="1">
      <c r="A27" s="31" t="s">
        <v>73</v>
      </c>
      <c r="B27" s="107">
        <f t="shared" si="0"/>
        <v>555194.23</v>
      </c>
      <c r="C27" s="35">
        <f t="shared" si="1"/>
        <v>0.00019145101981553678</v>
      </c>
      <c r="D27" s="43">
        <f>'[1]1100'!$D17</f>
        <v>0</v>
      </c>
      <c r="E27" s="43">
        <f>'[2]1100'!$D17</f>
        <v>0</v>
      </c>
      <c r="F27" s="43">
        <f>'[3]1100'!$D17</f>
        <v>522.88</v>
      </c>
      <c r="G27" s="43">
        <f>'[4]1100'!$D17</f>
        <v>0</v>
      </c>
      <c r="H27" s="43">
        <f>'[5]1100'!$D17</f>
        <v>554671.35</v>
      </c>
      <c r="I27" s="31"/>
      <c r="J27" s="206" t="s">
        <v>7</v>
      </c>
      <c r="K27" s="207">
        <f t="shared" si="2"/>
        <v>32668167.400000002</v>
      </c>
      <c r="L27" s="208">
        <f t="shared" si="3"/>
        <v>0.011265163840471961</v>
      </c>
      <c r="M27" s="42">
        <f>'[1]1100'!$L17</f>
        <v>8823843.55</v>
      </c>
      <c r="N27" s="42">
        <f>'[2]1100'!$L17</f>
        <v>21737860.61</v>
      </c>
      <c r="O27" s="42">
        <f>'[3]1100'!$L17</f>
        <v>714054.82</v>
      </c>
      <c r="P27" s="42">
        <f>'[4]1100'!$L17</f>
        <v>534791.05</v>
      </c>
      <c r="Q27" s="42">
        <f>'[5]1100'!$L17</f>
        <v>857617.37</v>
      </c>
    </row>
    <row r="28" spans="1:17" s="32" customFormat="1" ht="18" customHeight="1">
      <c r="A28" s="60" t="s">
        <v>74</v>
      </c>
      <c r="B28" s="33">
        <f t="shared" si="0"/>
        <v>1887686950.3599997</v>
      </c>
      <c r="C28" s="34">
        <f t="shared" si="1"/>
        <v>0.6509426291027961</v>
      </c>
      <c r="D28" s="43">
        <f>'[1]1100'!$D18</f>
        <v>608440566.01</v>
      </c>
      <c r="E28" s="43">
        <f>'[2]1100'!$D18</f>
        <v>635539966.4</v>
      </c>
      <c r="F28" s="43">
        <f>'[3]1100'!$D18</f>
        <v>195518487.03</v>
      </c>
      <c r="G28" s="43">
        <f>'[4]1100'!$D18</f>
        <v>192950797.08999997</v>
      </c>
      <c r="H28" s="43">
        <f>'[5]1100'!$D18</f>
        <v>255237133.82999998</v>
      </c>
      <c r="I28" s="31"/>
      <c r="J28" s="206" t="s">
        <v>120</v>
      </c>
      <c r="K28" s="207">
        <f t="shared" si="2"/>
        <v>235440597.58999997</v>
      </c>
      <c r="L28" s="208">
        <f t="shared" si="3"/>
        <v>0.08118842033820291</v>
      </c>
      <c r="M28" s="42">
        <f>'[1]1100'!$L18</f>
        <v>90671575.47999999</v>
      </c>
      <c r="N28" s="42">
        <f>'[2]1100'!$L18</f>
        <v>112757020.06</v>
      </c>
      <c r="O28" s="42">
        <f>'[3]1100'!$L18</f>
        <v>1137595.76</v>
      </c>
      <c r="P28" s="42">
        <f>'[4]1100'!$L18</f>
        <v>12803542.86</v>
      </c>
      <c r="Q28" s="42">
        <f>'[5]1100'!$L18</f>
        <v>18070863.43</v>
      </c>
    </row>
    <row r="29" spans="1:17" s="32" customFormat="1" ht="18" customHeight="1">
      <c r="A29" s="31" t="s">
        <v>75</v>
      </c>
      <c r="B29" s="107">
        <f t="shared" si="0"/>
        <v>2238037351.52</v>
      </c>
      <c r="C29" s="35">
        <f t="shared" si="1"/>
        <v>0.771756099363221</v>
      </c>
      <c r="D29" s="43">
        <f>'[1]1100'!$D19</f>
        <v>726294196.36</v>
      </c>
      <c r="E29" s="43">
        <f>'[2]1100'!$D19</f>
        <v>755800135.7</v>
      </c>
      <c r="F29" s="43">
        <f>'[3]1100'!$D19</f>
        <v>243243836.42</v>
      </c>
      <c r="G29" s="43">
        <f>'[4]1100'!$D19</f>
        <v>225324245.20999998</v>
      </c>
      <c r="H29" s="43">
        <f>'[5]1100'!$D19</f>
        <v>287374937.83</v>
      </c>
      <c r="I29" s="31"/>
      <c r="J29" s="4" t="s">
        <v>121</v>
      </c>
      <c r="K29" s="109">
        <f t="shared" si="2"/>
        <v>99166997.22</v>
      </c>
      <c r="L29" s="34">
        <f t="shared" si="3"/>
        <v>0.034196361784619954</v>
      </c>
      <c r="M29" s="42">
        <f>'[1]1100'!$L19</f>
        <v>45075907.83</v>
      </c>
      <c r="N29" s="42">
        <f>'[2]1100'!$L19</f>
        <v>54091089.39</v>
      </c>
      <c r="O29" s="42">
        <f>'[3]1100'!$L19</f>
        <v>0</v>
      </c>
      <c r="P29" s="42">
        <f>'[4]1100'!$L19</f>
        <v>0</v>
      </c>
      <c r="Q29" s="42">
        <f>'[5]1100'!$L19</f>
        <v>0</v>
      </c>
    </row>
    <row r="30" spans="1:17" s="32" customFormat="1" ht="18" customHeight="1">
      <c r="A30" s="31" t="s">
        <v>76</v>
      </c>
      <c r="B30" s="107">
        <f t="shared" si="0"/>
        <v>221777210.22</v>
      </c>
      <c r="C30" s="35">
        <f t="shared" si="1"/>
        <v>0.07647679095739825</v>
      </c>
      <c r="D30" s="43">
        <f>'[1]1100'!$D20</f>
        <v>20791783.95</v>
      </c>
      <c r="E30" s="43">
        <f>'[2]1100'!$D20</f>
        <v>41925898.69</v>
      </c>
      <c r="F30" s="43">
        <f>'[3]1100'!$D20</f>
        <v>47920429.41</v>
      </c>
      <c r="G30" s="43">
        <f>'[4]1100'!$D20</f>
        <v>55062531.93</v>
      </c>
      <c r="H30" s="43">
        <f>'[5]1100'!$D20</f>
        <v>56076566.24</v>
      </c>
      <c r="I30" s="31"/>
      <c r="J30" s="1" t="s">
        <v>122</v>
      </c>
      <c r="K30" s="107">
        <f t="shared" si="2"/>
        <v>99166997.22</v>
      </c>
      <c r="L30" s="35">
        <f t="shared" si="3"/>
        <v>0.034196361784619954</v>
      </c>
      <c r="M30" s="42">
        <f>'[1]1100'!$L20</f>
        <v>45075907.83</v>
      </c>
      <c r="N30" s="42">
        <f>'[2]1100'!$L20</f>
        <v>54091089.39</v>
      </c>
      <c r="O30" s="42">
        <f>'[3]1100'!$L20</f>
        <v>0</v>
      </c>
      <c r="P30" s="42">
        <f>'[4]1100'!$L20</f>
        <v>0</v>
      </c>
      <c r="Q30" s="42">
        <f>'[5]1100'!$L20</f>
        <v>0</v>
      </c>
    </row>
    <row r="31" spans="1:17" s="32" customFormat="1" ht="18" customHeight="1">
      <c r="A31" s="31" t="s">
        <v>77</v>
      </c>
      <c r="B31" s="107">
        <f t="shared" si="0"/>
        <v>185647244.60999998</v>
      </c>
      <c r="C31" s="35">
        <f t="shared" si="1"/>
        <v>0.06401787408080395</v>
      </c>
      <c r="D31" s="43">
        <f>'[1]1100'!$D21</f>
        <v>81405418.99</v>
      </c>
      <c r="E31" s="43">
        <f>'[2]1100'!$D21</f>
        <v>60290424.21</v>
      </c>
      <c r="F31" s="43">
        <f>'[3]1100'!$D21</f>
        <v>0</v>
      </c>
      <c r="G31" s="43">
        <f>'[4]1100'!$D21</f>
        <v>21716090.45</v>
      </c>
      <c r="H31" s="43">
        <f>'[5]1100'!$D21</f>
        <v>22235310.96</v>
      </c>
      <c r="I31" s="31"/>
      <c r="J31" s="1" t="s">
        <v>123</v>
      </c>
      <c r="K31" s="107">
        <f t="shared" si="2"/>
        <v>0</v>
      </c>
      <c r="L31" s="35" t="str">
        <f t="shared" si="3"/>
        <v>--</v>
      </c>
      <c r="M31" s="42">
        <f>'[1]1100'!$L21</f>
        <v>0</v>
      </c>
      <c r="N31" s="42">
        <f>'[2]1100'!$L21</f>
        <v>0</v>
      </c>
      <c r="O31" s="42">
        <f>'[3]1100'!$L21</f>
        <v>0</v>
      </c>
      <c r="P31" s="42">
        <f>'[4]1100'!$L21</f>
        <v>0</v>
      </c>
      <c r="Q31" s="42">
        <f>'[5]1100'!$L21</f>
        <v>0</v>
      </c>
    </row>
    <row r="32" spans="1:17" s="32" customFormat="1" ht="18" customHeight="1">
      <c r="A32" s="31" t="s">
        <v>78</v>
      </c>
      <c r="B32" s="107">
        <f t="shared" si="0"/>
        <v>728867740.5</v>
      </c>
      <c r="C32" s="35">
        <f t="shared" si="1"/>
        <v>0.2513399179767611</v>
      </c>
      <c r="D32" s="43">
        <f>'[1]1100'!$D22</f>
        <v>188118850.87</v>
      </c>
      <c r="E32" s="43">
        <f>'[2]1100'!$D22</f>
        <v>320410778.65</v>
      </c>
      <c r="F32" s="43">
        <f>'[3]1100'!$D22</f>
        <v>119304083.43</v>
      </c>
      <c r="G32" s="43">
        <f>'[4]1100'!$D22</f>
        <v>59331445.31</v>
      </c>
      <c r="H32" s="43">
        <f>'[5]1100'!$D22</f>
        <v>41702582.24</v>
      </c>
      <c r="I32" s="31"/>
      <c r="J32" s="1" t="s">
        <v>124</v>
      </c>
      <c r="K32" s="107">
        <f t="shared" si="2"/>
        <v>0</v>
      </c>
      <c r="L32" s="35" t="str">
        <f t="shared" si="3"/>
        <v>--</v>
      </c>
      <c r="M32" s="42">
        <f>'[1]1100'!$L22</f>
        <v>0</v>
      </c>
      <c r="N32" s="42">
        <f>'[2]1100'!$L22</f>
        <v>0</v>
      </c>
      <c r="O32" s="42">
        <f>'[3]1100'!$L22</f>
        <v>0</v>
      </c>
      <c r="P32" s="42">
        <f>'[4]1100'!$L22</f>
        <v>0</v>
      </c>
      <c r="Q32" s="42">
        <f>'[5]1100'!$L22</f>
        <v>0</v>
      </c>
    </row>
    <row r="33" spans="1:17" s="32" customFormat="1" ht="18" customHeight="1">
      <c r="A33" s="31" t="s">
        <v>79</v>
      </c>
      <c r="B33" s="107">
        <f t="shared" si="0"/>
        <v>-1486642596.49</v>
      </c>
      <c r="C33" s="35">
        <f t="shared" si="1"/>
        <v>-0.512648053275388</v>
      </c>
      <c r="D33" s="43">
        <f>'[1]1100'!$D23</f>
        <v>-408169684.16</v>
      </c>
      <c r="E33" s="43">
        <f>'[2]1100'!$D23</f>
        <v>-542887270.85</v>
      </c>
      <c r="F33" s="43">
        <f>'[3]1100'!$D23</f>
        <v>-214949862.23</v>
      </c>
      <c r="G33" s="43">
        <f>'[4]1100'!$D23</f>
        <v>-168483515.81</v>
      </c>
      <c r="H33" s="43">
        <f>'[5]1100'!$D23</f>
        <v>-152152263.44</v>
      </c>
      <c r="I33" s="31"/>
      <c r="J33" s="1" t="s">
        <v>8</v>
      </c>
      <c r="K33" s="36">
        <f t="shared" si="2"/>
        <v>0</v>
      </c>
      <c r="L33" s="35" t="str">
        <f t="shared" si="3"/>
        <v>--</v>
      </c>
      <c r="M33" s="42">
        <f>'[1]1100'!$L23</f>
        <v>0</v>
      </c>
      <c r="N33" s="42">
        <f>'[2]1100'!$L23</f>
        <v>0</v>
      </c>
      <c r="O33" s="42">
        <f>'[3]1100'!$L23</f>
        <v>0</v>
      </c>
      <c r="P33" s="42">
        <f>'[4]1100'!$L23</f>
        <v>0</v>
      </c>
      <c r="Q33" s="42">
        <f>'[5]1100'!$L23</f>
        <v>0</v>
      </c>
    </row>
    <row r="34" spans="1:17" s="32" customFormat="1" ht="18" customHeight="1">
      <c r="A34" s="60" t="s">
        <v>80</v>
      </c>
      <c r="B34" s="33">
        <f t="shared" si="0"/>
        <v>0</v>
      </c>
      <c r="C34" s="34" t="str">
        <f t="shared" si="1"/>
        <v>--</v>
      </c>
      <c r="D34" s="43">
        <f>'[1]1100'!$D24</f>
        <v>0</v>
      </c>
      <c r="E34" s="43">
        <f>'[2]1100'!$D24</f>
        <v>0</v>
      </c>
      <c r="F34" s="43">
        <f>'[3]1100'!$D24</f>
        <v>0</v>
      </c>
      <c r="G34" s="43">
        <f>'[4]1100'!$D24</f>
        <v>0</v>
      </c>
      <c r="H34" s="43">
        <f>'[5]1100'!$D24</f>
        <v>0</v>
      </c>
      <c r="I34" s="31"/>
      <c r="J34" s="4" t="s">
        <v>125</v>
      </c>
      <c r="K34" s="33">
        <f t="shared" si="2"/>
        <v>136273600.37</v>
      </c>
      <c r="L34" s="34">
        <f t="shared" si="3"/>
        <v>0.04699205855358297</v>
      </c>
      <c r="M34" s="42">
        <f>'[1]1100'!$L24</f>
        <v>45595667.65</v>
      </c>
      <c r="N34" s="42">
        <f>'[2]1100'!$L24</f>
        <v>58665930.67</v>
      </c>
      <c r="O34" s="42">
        <f>'[3]1100'!$L24</f>
        <v>1137595.76</v>
      </c>
      <c r="P34" s="42">
        <f>'[4]1100'!$L24</f>
        <v>12803542.86</v>
      </c>
      <c r="Q34" s="42">
        <f>'[5]1100'!$L24</f>
        <v>18070863.43</v>
      </c>
    </row>
    <row r="35" spans="1:17" s="32" customFormat="1" ht="18" customHeight="1">
      <c r="A35" s="60" t="s">
        <v>81</v>
      </c>
      <c r="B35" s="33">
        <f t="shared" si="0"/>
        <v>271698300.36</v>
      </c>
      <c r="C35" s="34">
        <f t="shared" si="1"/>
        <v>0.09369138560044117</v>
      </c>
      <c r="D35" s="43">
        <f>'[1]1100'!$D25</f>
        <v>161139229.65</v>
      </c>
      <c r="E35" s="43">
        <f>'[2]1100'!$D25</f>
        <v>236798.41</v>
      </c>
      <c r="F35" s="43">
        <f>'[3]1100'!$D25</f>
        <v>27521057.96</v>
      </c>
      <c r="G35" s="43">
        <f>'[4]1100'!$D25</f>
        <v>37359000.75</v>
      </c>
      <c r="H35" s="43">
        <f>'[5]1100'!$D25</f>
        <v>45442213.589999996</v>
      </c>
      <c r="I35" s="31"/>
      <c r="J35" s="1" t="s">
        <v>126</v>
      </c>
      <c r="K35" s="107">
        <f t="shared" si="2"/>
        <v>29312873.46</v>
      </c>
      <c r="L35" s="35">
        <f t="shared" si="3"/>
        <v>0.010108137322754205</v>
      </c>
      <c r="M35" s="42">
        <f>'[1]1100'!$L25</f>
        <v>0</v>
      </c>
      <c r="N35" s="42">
        <f>'[2]1100'!$L25</f>
        <v>0</v>
      </c>
      <c r="O35" s="42">
        <f>'[3]1100'!$L25</f>
        <v>0</v>
      </c>
      <c r="P35" s="42">
        <f>'[4]1100'!$L25</f>
        <v>12803542.86</v>
      </c>
      <c r="Q35" s="42">
        <f>'[5]1100'!$L25</f>
        <v>16509330.6</v>
      </c>
    </row>
    <row r="36" spans="1:17" s="32" customFormat="1" ht="18" customHeight="1">
      <c r="A36" s="31" t="s">
        <v>82</v>
      </c>
      <c r="B36" s="107">
        <f t="shared" si="0"/>
        <v>2220173.07</v>
      </c>
      <c r="C36" s="35">
        <f t="shared" si="1"/>
        <v>0.0007655958499757663</v>
      </c>
      <c r="D36" s="43">
        <f>'[1]1100'!$D26</f>
        <v>1572049.69</v>
      </c>
      <c r="E36" s="43">
        <f>'[2]1100'!$D26</f>
        <v>236798.41</v>
      </c>
      <c r="F36" s="43">
        <f>'[3]1100'!$D26</f>
        <v>285030</v>
      </c>
      <c r="G36" s="43">
        <f>'[4]1100'!$D26</f>
        <v>0</v>
      </c>
      <c r="H36" s="43">
        <f>'[5]1100'!$D26</f>
        <v>126294.97</v>
      </c>
      <c r="I36" s="31"/>
      <c r="J36" s="1" t="s">
        <v>127</v>
      </c>
      <c r="K36" s="107">
        <f t="shared" si="2"/>
        <v>106651892.49</v>
      </c>
      <c r="L36" s="35">
        <f t="shared" si="3"/>
        <v>0.0367774239701077</v>
      </c>
      <c r="M36" s="42">
        <f>'[1]1100'!$L26</f>
        <v>45595667.65</v>
      </c>
      <c r="N36" s="42">
        <f>'[2]1100'!$L26</f>
        <v>58665930.67</v>
      </c>
      <c r="O36" s="42">
        <f>'[3]1100'!$L26</f>
        <v>1132422.2</v>
      </c>
      <c r="P36" s="42">
        <f>'[4]1100'!$L26</f>
        <v>0</v>
      </c>
      <c r="Q36" s="42">
        <f>'[5]1100'!$L26</f>
        <v>1257871.97</v>
      </c>
    </row>
    <row r="37" spans="1:17" s="32" customFormat="1" ht="18" customHeight="1">
      <c r="A37" s="31" t="s">
        <v>83</v>
      </c>
      <c r="B37" s="107">
        <f t="shared" si="0"/>
        <v>269617175.78000003</v>
      </c>
      <c r="C37" s="35">
        <f t="shared" si="1"/>
        <v>0.09297373869117093</v>
      </c>
      <c r="D37" s="43">
        <f>'[1]1100'!$D27</f>
        <v>159569858.92000002</v>
      </c>
      <c r="E37" s="43">
        <f>'[2]1100'!$D27</f>
        <v>0</v>
      </c>
      <c r="F37" s="43">
        <f>'[3]1100'!$D27</f>
        <v>27223609.04</v>
      </c>
      <c r="G37" s="43">
        <f>'[4]1100'!$D27</f>
        <v>37530303.2</v>
      </c>
      <c r="H37" s="43">
        <f>'[5]1100'!$D27</f>
        <v>45293404.62</v>
      </c>
      <c r="I37" s="31"/>
      <c r="J37" s="1" t="s">
        <v>128</v>
      </c>
      <c r="K37" s="107">
        <f t="shared" si="2"/>
        <v>0</v>
      </c>
      <c r="L37" s="35" t="str">
        <f t="shared" si="3"/>
        <v>--</v>
      </c>
      <c r="M37" s="42">
        <f>'[1]1100'!$L27</f>
        <v>0</v>
      </c>
      <c r="N37" s="42">
        <f>'[2]1100'!$L27</f>
        <v>0</v>
      </c>
      <c r="O37" s="42">
        <f>'[3]1100'!$L27</f>
        <v>0</v>
      </c>
      <c r="P37" s="42">
        <f>'[4]1100'!$L27</f>
        <v>0</v>
      </c>
      <c r="Q37" s="42">
        <f>'[5]1100'!$L27</f>
        <v>0</v>
      </c>
    </row>
    <row r="38" spans="1:17" s="32" customFormat="1" ht="18" customHeight="1">
      <c r="A38" s="31" t="s">
        <v>84</v>
      </c>
      <c r="B38" s="107">
        <f t="shared" si="0"/>
        <v>126238.98</v>
      </c>
      <c r="C38" s="35">
        <f t="shared" si="1"/>
        <v>4.353175907731092E-05</v>
      </c>
      <c r="D38" s="43">
        <f>'[1]1100'!$D28</f>
        <v>0</v>
      </c>
      <c r="E38" s="43">
        <f>'[2]1100'!$D28</f>
        <v>0</v>
      </c>
      <c r="F38" s="43">
        <f>'[3]1100'!$D28</f>
        <v>12418.92</v>
      </c>
      <c r="G38" s="43">
        <f>'[4]1100'!$D28</f>
        <v>0</v>
      </c>
      <c r="H38" s="43">
        <f>'[5]1100'!$D28</f>
        <v>113820.06</v>
      </c>
      <c r="I38" s="31"/>
      <c r="J38" s="1" t="s">
        <v>129</v>
      </c>
      <c r="K38" s="107">
        <f t="shared" si="2"/>
        <v>308834.42</v>
      </c>
      <c r="L38" s="35">
        <f t="shared" si="3"/>
        <v>0.00010649726072106298</v>
      </c>
      <c r="M38" s="42">
        <f>'[1]1100'!$L28</f>
        <v>0</v>
      </c>
      <c r="N38" s="42">
        <f>'[2]1100'!$L28</f>
        <v>0</v>
      </c>
      <c r="O38" s="42">
        <f>'[3]1100'!$L28</f>
        <v>5173.56</v>
      </c>
      <c r="P38" s="42">
        <f>'[4]1100'!$L28</f>
        <v>0</v>
      </c>
      <c r="Q38" s="42">
        <f>'[5]1100'!$L28</f>
        <v>303660.86</v>
      </c>
    </row>
    <row r="39" spans="1:17" s="32" customFormat="1" ht="18" customHeight="1">
      <c r="A39" s="31" t="s">
        <v>85</v>
      </c>
      <c r="B39" s="107">
        <f t="shared" si="0"/>
        <v>-265287.47</v>
      </c>
      <c r="C39" s="35">
        <f t="shared" si="1"/>
        <v>-9.148069978281944E-05</v>
      </c>
      <c r="D39" s="43">
        <f>'[1]1100'!$D29</f>
        <v>-2678.96</v>
      </c>
      <c r="E39" s="43">
        <f>'[2]1100'!$D29</f>
        <v>0</v>
      </c>
      <c r="F39" s="43">
        <f>'[3]1100'!$D29</f>
        <v>0</v>
      </c>
      <c r="G39" s="43">
        <f>'[4]1100'!$D29</f>
        <v>-171302.45</v>
      </c>
      <c r="H39" s="43">
        <f>'[5]1100'!$D29</f>
        <v>-91306.06</v>
      </c>
      <c r="I39" s="31"/>
      <c r="J39" s="4" t="s">
        <v>130</v>
      </c>
      <c r="K39" s="33">
        <f t="shared" si="2"/>
        <v>0</v>
      </c>
      <c r="L39" s="34" t="str">
        <f t="shared" si="3"/>
        <v>--</v>
      </c>
      <c r="M39" s="42">
        <f>'[1]1100'!$L29</f>
        <v>0</v>
      </c>
      <c r="N39" s="42">
        <f>'[2]1100'!$L29</f>
        <v>0</v>
      </c>
      <c r="O39" s="42">
        <f>'[3]1100'!$L29</f>
        <v>0</v>
      </c>
      <c r="P39" s="42">
        <f>'[4]1100'!$L29</f>
        <v>0</v>
      </c>
      <c r="Q39" s="42">
        <f>'[5]1100'!$L29</f>
        <v>0</v>
      </c>
    </row>
    <row r="40" spans="1:17" s="32" customFormat="1" ht="18" customHeight="1">
      <c r="A40" s="60" t="s">
        <v>493</v>
      </c>
      <c r="B40" s="109">
        <f t="shared" si="0"/>
        <v>133781529.64</v>
      </c>
      <c r="C40" s="34">
        <f t="shared" si="1"/>
        <v>0.04613270257160356</v>
      </c>
      <c r="D40" s="43">
        <f>'[1]1100'!$D30</f>
        <v>0</v>
      </c>
      <c r="E40" s="43">
        <f>'[2]1100'!$D30</f>
        <v>133781529.64</v>
      </c>
      <c r="F40" s="43">
        <f>'[3]1100'!$D30</f>
        <v>0</v>
      </c>
      <c r="G40" s="43">
        <f>'[4]1100'!$D30</f>
        <v>0</v>
      </c>
      <c r="H40" s="43">
        <f>'[5]1100'!$D30</f>
        <v>0</v>
      </c>
      <c r="I40" s="31"/>
      <c r="J40" s="4"/>
      <c r="K40" s="33"/>
      <c r="L40" s="34"/>
      <c r="M40" s="42"/>
      <c r="N40" s="42"/>
      <c r="O40" s="42"/>
      <c r="P40" s="42"/>
      <c r="Q40" s="42"/>
    </row>
    <row r="41" spans="1:17" s="32" customFormat="1" ht="18" customHeight="1">
      <c r="A41" s="206" t="s">
        <v>5</v>
      </c>
      <c r="B41" s="207">
        <f t="shared" si="0"/>
        <v>1092660.77</v>
      </c>
      <c r="C41" s="208">
        <f t="shared" si="1"/>
        <v>0.0003767888919323417</v>
      </c>
      <c r="D41" s="43">
        <f>'[1]1100'!$D31</f>
        <v>979121.96</v>
      </c>
      <c r="E41" s="43">
        <f>'[2]1100'!$D31</f>
        <v>0</v>
      </c>
      <c r="F41" s="43">
        <f>'[3]1100'!$D31</f>
        <v>113538.81</v>
      </c>
      <c r="G41" s="43">
        <f>'[4]1100'!$D31</f>
        <v>0</v>
      </c>
      <c r="H41" s="43">
        <f>'[5]1100'!$D31</f>
        <v>0</v>
      </c>
      <c r="I41" s="31"/>
      <c r="J41" s="4"/>
      <c r="K41" s="33"/>
      <c r="L41" s="34"/>
      <c r="M41" s="42"/>
      <c r="N41" s="42"/>
      <c r="O41" s="42"/>
      <c r="P41" s="42"/>
      <c r="Q41" s="42"/>
    </row>
    <row r="42" spans="1:17" s="32" customFormat="1" ht="18" customHeight="1">
      <c r="A42" s="206" t="s">
        <v>86</v>
      </c>
      <c r="B42" s="207">
        <f t="shared" si="0"/>
        <v>595082201.21</v>
      </c>
      <c r="C42" s="208">
        <f t="shared" si="1"/>
        <v>0.20520583273304005</v>
      </c>
      <c r="D42" s="43">
        <f>'[1]1100'!$D32</f>
        <v>156054227.19</v>
      </c>
      <c r="E42" s="43">
        <f>'[2]1100'!$D32</f>
        <v>102903269.81000002</v>
      </c>
      <c r="F42" s="43">
        <f>'[3]1100'!$D32</f>
        <v>107582715.75</v>
      </c>
      <c r="G42" s="43">
        <f>'[4]1100'!$D32</f>
        <v>93737556.42999999</v>
      </c>
      <c r="H42" s="43">
        <f>'[5]1100'!$D32</f>
        <v>134804432.03</v>
      </c>
      <c r="I42" s="31"/>
      <c r="J42" s="206" t="s">
        <v>131</v>
      </c>
      <c r="K42" s="207">
        <f t="shared" si="2"/>
        <v>412906467.31000006</v>
      </c>
      <c r="L42" s="208">
        <f aca="true" t="shared" si="4" ref="L42:L60">IF((K42/$K$64)=0,"--",K42/$K$64)</f>
        <v>0.1423850609090986</v>
      </c>
      <c r="M42" s="42">
        <f>'[1]1100'!$L31</f>
        <v>116190624.04</v>
      </c>
      <c r="N42" s="42">
        <f>'[2]1100'!$L31</f>
        <v>81770168.23</v>
      </c>
      <c r="O42" s="42">
        <f>'[3]1100'!$L31</f>
        <v>111976205.94</v>
      </c>
      <c r="P42" s="42">
        <f>'[4]1100'!$L31</f>
        <v>67340804.07</v>
      </c>
      <c r="Q42" s="42">
        <f>'[5]1100'!$L31</f>
        <v>35628665.03</v>
      </c>
    </row>
    <row r="43" spans="1:17" s="32" customFormat="1" ht="18" customHeight="1">
      <c r="A43" s="60" t="s">
        <v>87</v>
      </c>
      <c r="B43" s="33">
        <f t="shared" si="0"/>
        <v>404450.72</v>
      </c>
      <c r="C43" s="34">
        <f t="shared" si="1"/>
        <v>0.00013946921388056953</v>
      </c>
      <c r="D43" s="43">
        <f>'[1]1100'!$D33</f>
        <v>0</v>
      </c>
      <c r="E43" s="43">
        <f>'[2]1100'!$D33</f>
        <v>404450.72</v>
      </c>
      <c r="F43" s="43">
        <f>'[3]1100'!$D33</f>
        <v>0</v>
      </c>
      <c r="G43" s="43">
        <f>'[4]1100'!$D33</f>
        <v>0</v>
      </c>
      <c r="H43" s="43">
        <f>'[5]1100'!$D33</f>
        <v>0</v>
      </c>
      <c r="I43" s="31"/>
      <c r="J43" s="4" t="s">
        <v>121</v>
      </c>
      <c r="K43" s="33">
        <f t="shared" si="2"/>
        <v>89302589.67</v>
      </c>
      <c r="L43" s="34">
        <f t="shared" si="4"/>
        <v>0.030794757835451422</v>
      </c>
      <c r="M43" s="42">
        <f>'[1]1100'!$L32</f>
        <v>130411.39</v>
      </c>
      <c r="N43" s="42">
        <f>'[2]1100'!$L32</f>
        <v>148750.5</v>
      </c>
      <c r="O43" s="42">
        <f>'[3]1100'!$L32</f>
        <v>63106270.96</v>
      </c>
      <c r="P43" s="42">
        <f>'[4]1100'!$L32</f>
        <v>25917156.819999997</v>
      </c>
      <c r="Q43" s="42">
        <f>'[5]1100'!$L32</f>
        <v>0</v>
      </c>
    </row>
    <row r="44" spans="1:17" s="32" customFormat="1" ht="18" customHeight="1">
      <c r="A44" s="31" t="s">
        <v>88</v>
      </c>
      <c r="B44" s="107">
        <f t="shared" si="0"/>
        <v>0</v>
      </c>
      <c r="C44" s="35" t="str">
        <f t="shared" si="1"/>
        <v>--</v>
      </c>
      <c r="D44" s="43">
        <f>'[1]1100'!$D34</f>
        <v>0</v>
      </c>
      <c r="E44" s="43">
        <f>'[2]1100'!$D34</f>
        <v>0</v>
      </c>
      <c r="F44" s="43">
        <f>'[3]1100'!$D34</f>
        <v>0</v>
      </c>
      <c r="G44" s="43">
        <f>'[4]1100'!$D34</f>
        <v>0</v>
      </c>
      <c r="H44" s="43">
        <f>'[5]1100'!$D34</f>
        <v>0</v>
      </c>
      <c r="I44" s="31"/>
      <c r="J44" s="1" t="s">
        <v>132</v>
      </c>
      <c r="K44" s="107">
        <f t="shared" si="2"/>
        <v>88949791.45</v>
      </c>
      <c r="L44" s="35">
        <f t="shared" si="4"/>
        <v>0.03067310026885873</v>
      </c>
      <c r="M44" s="42">
        <f>'[1]1100'!$L33</f>
        <v>0</v>
      </c>
      <c r="N44" s="42">
        <f>'[2]1100'!$L33</f>
        <v>0</v>
      </c>
      <c r="O44" s="42">
        <f>'[3]1100'!$L33</f>
        <v>63106270.96</v>
      </c>
      <c r="P44" s="42">
        <f>'[4]1100'!$L33</f>
        <v>25843520.49</v>
      </c>
      <c r="Q44" s="42">
        <f>'[5]1100'!$L33</f>
        <v>0</v>
      </c>
    </row>
    <row r="45" spans="1:17" s="32" customFormat="1" ht="18" customHeight="1">
      <c r="A45" s="31" t="s">
        <v>89</v>
      </c>
      <c r="B45" s="107">
        <f t="shared" si="0"/>
        <v>0</v>
      </c>
      <c r="C45" s="35" t="str">
        <f t="shared" si="1"/>
        <v>--</v>
      </c>
      <c r="D45" s="43">
        <f>'[1]1100'!$D35</f>
        <v>0</v>
      </c>
      <c r="E45" s="43">
        <f>'[2]1100'!$D35</f>
        <v>0</v>
      </c>
      <c r="F45" s="43">
        <f>'[3]1100'!$D35</f>
        <v>0</v>
      </c>
      <c r="G45" s="43">
        <f>'[4]1100'!$D35</f>
        <v>0</v>
      </c>
      <c r="H45" s="43">
        <f>'[5]1100'!$D35</f>
        <v>0</v>
      </c>
      <c r="I45" s="31"/>
      <c r="J45" s="1" t="s">
        <v>123</v>
      </c>
      <c r="K45" s="107">
        <f t="shared" si="2"/>
        <v>0</v>
      </c>
      <c r="L45" s="35" t="str">
        <f t="shared" si="4"/>
        <v>--</v>
      </c>
      <c r="M45" s="42">
        <f>'[1]1100'!$L34</f>
        <v>0</v>
      </c>
      <c r="N45" s="42">
        <f>'[2]1100'!$L34</f>
        <v>0</v>
      </c>
      <c r="O45" s="42">
        <f>'[3]1100'!$L34</f>
        <v>0</v>
      </c>
      <c r="P45" s="42">
        <f>'[4]1100'!$L34</f>
        <v>0</v>
      </c>
      <c r="Q45" s="42">
        <f>'[5]1100'!$L34</f>
        <v>0</v>
      </c>
    </row>
    <row r="46" spans="1:17" s="32" customFormat="1" ht="18" customHeight="1">
      <c r="A46" s="31" t="s">
        <v>90</v>
      </c>
      <c r="B46" s="107">
        <f t="shared" si="0"/>
        <v>0</v>
      </c>
      <c r="C46" s="35" t="str">
        <f aca="true" t="shared" si="5" ref="C46:C64">IF((B46/$B$64)=0,"--",B46/$B$64)</f>
        <v>--</v>
      </c>
      <c r="D46" s="43">
        <f>'[1]1100'!$D36</f>
        <v>0</v>
      </c>
      <c r="E46" s="43">
        <f>'[2]1100'!$D36</f>
        <v>0</v>
      </c>
      <c r="F46" s="43">
        <f>'[3]1100'!$D36</f>
        <v>0</v>
      </c>
      <c r="G46" s="43">
        <f>'[4]1100'!$D36</f>
        <v>0</v>
      </c>
      <c r="H46" s="43">
        <f>'[5]1100'!$D36</f>
        <v>0</v>
      </c>
      <c r="I46" s="31"/>
      <c r="J46" s="205" t="s">
        <v>124</v>
      </c>
      <c r="K46" s="107">
        <f t="shared" si="2"/>
        <v>352798.22000000003</v>
      </c>
      <c r="L46" s="35">
        <f t="shared" si="4"/>
        <v>0.00012165756659269696</v>
      </c>
      <c r="M46" s="42">
        <f>'[1]1100'!$L35</f>
        <v>130411.39</v>
      </c>
      <c r="N46" s="42">
        <f>'[2]1100'!$L35</f>
        <v>148750.5</v>
      </c>
      <c r="O46" s="42">
        <f>'[3]1100'!$L35</f>
        <v>0</v>
      </c>
      <c r="P46" s="42">
        <f>'[4]1100'!$L35</f>
        <v>73636.33</v>
      </c>
      <c r="Q46" s="42">
        <f>'[5]1100'!$L35</f>
        <v>0</v>
      </c>
    </row>
    <row r="47" spans="1:17" s="32" customFormat="1" ht="18" customHeight="1">
      <c r="A47" s="31" t="s">
        <v>91</v>
      </c>
      <c r="B47" s="107">
        <f t="shared" si="0"/>
        <v>404450.72</v>
      </c>
      <c r="C47" s="35">
        <f t="shared" si="5"/>
        <v>0.00013946921388056953</v>
      </c>
      <c r="D47" s="43">
        <f>'[1]1100'!$D37</f>
        <v>0</v>
      </c>
      <c r="E47" s="43">
        <f>'[2]1100'!$D37</f>
        <v>404450.72</v>
      </c>
      <c r="F47" s="43">
        <f>'[3]1100'!$D37</f>
        <v>0</v>
      </c>
      <c r="G47" s="43">
        <f>'[4]1100'!$D37</f>
        <v>0</v>
      </c>
      <c r="H47" s="43">
        <f>'[5]1100'!$D37</f>
        <v>0</v>
      </c>
      <c r="I47" s="31"/>
      <c r="J47" s="1" t="s">
        <v>8</v>
      </c>
      <c r="K47" s="107">
        <f t="shared" si="2"/>
        <v>0</v>
      </c>
      <c r="L47" s="35" t="str">
        <f t="shared" si="4"/>
        <v>--</v>
      </c>
      <c r="M47" s="42">
        <f>'[1]1100'!$L36</f>
        <v>0</v>
      </c>
      <c r="N47" s="42">
        <f>'[2]1100'!$L36</f>
        <v>0</v>
      </c>
      <c r="O47" s="42">
        <f>'[3]1100'!$L36</f>
        <v>0</v>
      </c>
      <c r="P47" s="42">
        <f>'[4]1100'!$L36</f>
        <v>0</v>
      </c>
      <c r="Q47" s="42">
        <f>'[5]1100'!$L36</f>
        <v>0</v>
      </c>
    </row>
    <row r="48" spans="1:17" s="32" customFormat="1" ht="18" customHeight="1">
      <c r="A48" s="31" t="s">
        <v>92</v>
      </c>
      <c r="B48" s="107">
        <f t="shared" si="0"/>
        <v>0</v>
      </c>
      <c r="C48" s="35" t="str">
        <f t="shared" si="5"/>
        <v>--</v>
      </c>
      <c r="D48" s="43">
        <f>'[1]1100'!$D38</f>
        <v>0</v>
      </c>
      <c r="E48" s="43">
        <f>'[2]1100'!$D38</f>
        <v>0</v>
      </c>
      <c r="F48" s="43">
        <f>'[3]1100'!$D38</f>
        <v>0</v>
      </c>
      <c r="G48" s="43">
        <f>'[4]1100'!$D38</f>
        <v>0</v>
      </c>
      <c r="H48" s="43">
        <f>'[5]1100'!$D38</f>
        <v>0</v>
      </c>
      <c r="I48" s="31"/>
      <c r="J48" s="4" t="s">
        <v>133</v>
      </c>
      <c r="K48" s="109">
        <f t="shared" si="2"/>
        <v>12295488.870000001</v>
      </c>
      <c r="L48" s="34">
        <f t="shared" si="4"/>
        <v>0.004239928580115255</v>
      </c>
      <c r="M48" s="42">
        <f>'[1]1100'!$L37</f>
        <v>0</v>
      </c>
      <c r="N48" s="42">
        <f>'[2]1100'!$L37</f>
        <v>4038.16</v>
      </c>
      <c r="O48" s="42">
        <f>'[3]1100'!$L37</f>
        <v>147510.63</v>
      </c>
      <c r="P48" s="42">
        <f>'[4]1100'!$L37</f>
        <v>4277312.04</v>
      </c>
      <c r="Q48" s="42">
        <f>'[5]1100'!$L37</f>
        <v>7866628.04</v>
      </c>
    </row>
    <row r="49" spans="1:17" s="32" customFormat="1" ht="18" customHeight="1">
      <c r="A49" s="31" t="s">
        <v>93</v>
      </c>
      <c r="B49" s="107">
        <f t="shared" si="0"/>
        <v>0</v>
      </c>
      <c r="C49" s="35" t="str">
        <f t="shared" si="5"/>
        <v>--</v>
      </c>
      <c r="D49" s="43">
        <f>'[1]1100'!$D39</f>
        <v>0</v>
      </c>
      <c r="E49" s="43">
        <f>'[2]1100'!$D39</f>
        <v>0</v>
      </c>
      <c r="F49" s="43">
        <f>'[3]1100'!$D39</f>
        <v>0</v>
      </c>
      <c r="G49" s="43">
        <f>'[4]1100'!$D39</f>
        <v>0</v>
      </c>
      <c r="H49" s="43">
        <f>'[5]1100'!$D39</f>
        <v>0</v>
      </c>
      <c r="I49" s="31"/>
      <c r="J49" s="1" t="s">
        <v>134</v>
      </c>
      <c r="K49" s="107">
        <f t="shared" si="2"/>
        <v>11319354.16</v>
      </c>
      <c r="L49" s="35">
        <f t="shared" si="4"/>
        <v>0.003903322081688851</v>
      </c>
      <c r="M49" s="42">
        <f>'[1]1100'!$L38</f>
        <v>0</v>
      </c>
      <c r="N49" s="42">
        <f>'[2]1100'!$L38</f>
        <v>0</v>
      </c>
      <c r="O49" s="42">
        <f>'[3]1100'!$L38</f>
        <v>0</v>
      </c>
      <c r="P49" s="42">
        <f>'[4]1100'!$L38</f>
        <v>3956104.26</v>
      </c>
      <c r="Q49" s="42">
        <f>'[5]1100'!$L38</f>
        <v>7363249.9</v>
      </c>
    </row>
    <row r="50" spans="1:17" s="32" customFormat="1" ht="18" customHeight="1">
      <c r="A50" s="60" t="s">
        <v>94</v>
      </c>
      <c r="B50" s="33">
        <f>SUM(D50:H50)</f>
        <v>394150107.04</v>
      </c>
      <c r="C50" s="34">
        <f t="shared" si="5"/>
        <v>0.1359171905536752</v>
      </c>
      <c r="D50" s="43">
        <f>'[1]1100'!$D40</f>
        <v>148942427.58</v>
      </c>
      <c r="E50" s="43">
        <f>'[2]1100'!$D40</f>
        <v>72560103.57000001</v>
      </c>
      <c r="F50" s="43">
        <f>'[3]1100'!$D40</f>
        <v>73907060.08</v>
      </c>
      <c r="G50" s="43">
        <f>'[4]1100'!$D40</f>
        <v>43605927.62</v>
      </c>
      <c r="H50" s="43">
        <f>'[5]1100'!$D40</f>
        <v>55134588.19</v>
      </c>
      <c r="I50" s="31"/>
      <c r="J50" s="1" t="s">
        <v>135</v>
      </c>
      <c r="K50" s="36">
        <f t="shared" si="2"/>
        <v>976134.7100000001</v>
      </c>
      <c r="L50" s="35">
        <f t="shared" si="4"/>
        <v>0.00033660649842640343</v>
      </c>
      <c r="M50" s="42">
        <f>'[1]1100'!$L39</f>
        <v>0</v>
      </c>
      <c r="N50" s="42">
        <f>'[2]1100'!$L39</f>
        <v>4038.16</v>
      </c>
      <c r="O50" s="42">
        <f>'[3]1100'!$L39</f>
        <v>147510.63</v>
      </c>
      <c r="P50" s="42">
        <f>'[4]1100'!$L39</f>
        <v>321207.78</v>
      </c>
      <c r="Q50" s="42">
        <f>'[5]1100'!$L39</f>
        <v>503378.14</v>
      </c>
    </row>
    <row r="51" spans="1:17" s="32" customFormat="1" ht="18" customHeight="1">
      <c r="A51" s="31" t="s">
        <v>95</v>
      </c>
      <c r="B51" s="107">
        <f t="shared" si="0"/>
        <v>269470766.85</v>
      </c>
      <c r="C51" s="35">
        <f t="shared" si="5"/>
        <v>0.09292325160495138</v>
      </c>
      <c r="D51" s="43">
        <f>'[1]1100'!$D41</f>
        <v>112289766.35</v>
      </c>
      <c r="E51" s="43">
        <f>'[2]1100'!$D41</f>
        <v>46314238.56</v>
      </c>
      <c r="F51" s="43">
        <f>'[3]1100'!$D41</f>
        <v>42699152.46</v>
      </c>
      <c r="G51" s="43">
        <f>'[4]1100'!$D41</f>
        <v>34092493.97</v>
      </c>
      <c r="H51" s="43">
        <f>'[5]1100'!$D41</f>
        <v>34075115.51</v>
      </c>
      <c r="I51" s="31"/>
      <c r="J51" s="4" t="s">
        <v>136</v>
      </c>
      <c r="K51" s="109">
        <f t="shared" si="2"/>
        <v>97908997.81</v>
      </c>
      <c r="L51" s="34">
        <f t="shared" si="4"/>
        <v>0.033762558158865696</v>
      </c>
      <c r="M51" s="42">
        <f>'[1]1100'!$L40</f>
        <v>43024399.17</v>
      </c>
      <c r="N51" s="42">
        <f>'[2]1100'!$L40</f>
        <v>25819021.450000003</v>
      </c>
      <c r="O51" s="42">
        <f>'[3]1100'!$L40</f>
        <v>13104076.95</v>
      </c>
      <c r="P51" s="42">
        <f>'[4]1100'!$L40</f>
        <v>8312661.42</v>
      </c>
      <c r="Q51" s="42">
        <f>'[5]1100'!$L40</f>
        <v>7648838.819999999</v>
      </c>
    </row>
    <row r="52" spans="1:17" s="32" customFormat="1" ht="18" customHeight="1">
      <c r="A52" s="31" t="s">
        <v>96</v>
      </c>
      <c r="B52" s="107">
        <f t="shared" si="0"/>
        <v>122054984.92</v>
      </c>
      <c r="C52" s="35">
        <f t="shared" si="5"/>
        <v>0.042088966480260365</v>
      </c>
      <c r="D52" s="43">
        <f>'[1]1100'!$D42</f>
        <v>34281861</v>
      </c>
      <c r="E52" s="43">
        <f>'[2]1100'!$D42</f>
        <v>25929485.26</v>
      </c>
      <c r="F52" s="43">
        <f>'[3]1100'!$D42</f>
        <v>30460797.61</v>
      </c>
      <c r="G52" s="43">
        <f>'[4]1100'!$D42</f>
        <v>10906590.97</v>
      </c>
      <c r="H52" s="43">
        <f>'[5]1100'!$D42</f>
        <v>20476250.08</v>
      </c>
      <c r="I52" s="31"/>
      <c r="J52" s="1" t="s">
        <v>137</v>
      </c>
      <c r="K52" s="107">
        <f t="shared" si="2"/>
        <v>37308247.980000004</v>
      </c>
      <c r="L52" s="35">
        <f t="shared" si="4"/>
        <v>0.012865231188195058</v>
      </c>
      <c r="M52" s="42">
        <f>'[1]1100'!$L41</f>
        <v>14546758.07</v>
      </c>
      <c r="N52" s="42">
        <f>'[2]1100'!$L41</f>
        <v>8596692.53</v>
      </c>
      <c r="O52" s="42">
        <f>'[3]1100'!$L41</f>
        <v>4913545.5</v>
      </c>
      <c r="P52" s="42">
        <f>'[4]1100'!$L41</f>
        <v>5232516.54</v>
      </c>
      <c r="Q52" s="42">
        <f>'[5]1100'!$L41</f>
        <v>4018735.34</v>
      </c>
    </row>
    <row r="53" spans="1:17" s="32" customFormat="1" ht="18" customHeight="1">
      <c r="A53" s="31" t="s">
        <v>97</v>
      </c>
      <c r="B53" s="107">
        <f t="shared" si="0"/>
        <v>0</v>
      </c>
      <c r="C53" s="35" t="str">
        <f t="shared" si="5"/>
        <v>--</v>
      </c>
      <c r="D53" s="43">
        <f>'[1]1100'!$D43</f>
        <v>0</v>
      </c>
      <c r="E53" s="43">
        <f>'[2]1100'!$D43</f>
        <v>0</v>
      </c>
      <c r="F53" s="43">
        <f>'[3]1100'!$D43</f>
        <v>0</v>
      </c>
      <c r="G53" s="43">
        <f>'[4]1100'!$D43</f>
        <v>0</v>
      </c>
      <c r="H53" s="43">
        <f>'[5]1100'!$D43</f>
        <v>0</v>
      </c>
      <c r="I53" s="31"/>
      <c r="J53" s="1" t="s">
        <v>138</v>
      </c>
      <c r="K53" s="107">
        <f t="shared" si="2"/>
        <v>14415684.059999999</v>
      </c>
      <c r="L53" s="35">
        <f t="shared" si="4"/>
        <v>0.004971048446641056</v>
      </c>
      <c r="M53" s="42">
        <f>'[1]1100'!$L42</f>
        <v>4543240.81</v>
      </c>
      <c r="N53" s="42">
        <f>'[2]1100'!$L42</f>
        <v>7004224.29</v>
      </c>
      <c r="O53" s="42">
        <f>'[3]1100'!$L42</f>
        <v>1461909.1</v>
      </c>
      <c r="P53" s="42">
        <f>'[4]1100'!$L42</f>
        <v>915175.68</v>
      </c>
      <c r="Q53" s="42">
        <f>'[5]1100'!$L42</f>
        <v>491134.18</v>
      </c>
    </row>
    <row r="54" spans="1:17" s="32" customFormat="1" ht="18" customHeight="1">
      <c r="A54" s="31" t="s">
        <v>98</v>
      </c>
      <c r="B54" s="107">
        <f t="shared" si="0"/>
        <v>7473049.54</v>
      </c>
      <c r="C54" s="35">
        <f t="shared" si="5"/>
        <v>0.0025769773500078125</v>
      </c>
      <c r="D54" s="43">
        <f>'[1]1100'!$D44</f>
        <v>2697070.83</v>
      </c>
      <c r="E54" s="43">
        <f>'[2]1100'!$D44</f>
        <v>2338460.14</v>
      </c>
      <c r="F54" s="43">
        <f>'[3]1100'!$D44</f>
        <v>747110.01</v>
      </c>
      <c r="G54" s="43">
        <f>'[4]1100'!$D44</f>
        <v>268186.77</v>
      </c>
      <c r="H54" s="43">
        <f>'[5]1100'!$D44</f>
        <v>1422221.79</v>
      </c>
      <c r="I54" s="31"/>
      <c r="J54" s="1" t="s">
        <v>139</v>
      </c>
      <c r="K54" s="107">
        <f t="shared" si="2"/>
        <v>0</v>
      </c>
      <c r="L54" s="35" t="str">
        <f t="shared" si="4"/>
        <v>--</v>
      </c>
      <c r="M54" s="42">
        <f>'[1]1100'!$L43</f>
        <v>0</v>
      </c>
      <c r="N54" s="42">
        <f>'[2]1100'!$L43</f>
        <v>0</v>
      </c>
      <c r="O54" s="42">
        <f>'[3]1100'!$L43</f>
        <v>0</v>
      </c>
      <c r="P54" s="42">
        <f>'[4]1100'!$L43</f>
        <v>0</v>
      </c>
      <c r="Q54" s="42">
        <f>'[5]1100'!$L43</f>
        <v>0</v>
      </c>
    </row>
    <row r="55" spans="1:17" s="32" customFormat="1" ht="18" customHeight="1">
      <c r="A55" s="31" t="s">
        <v>99</v>
      </c>
      <c r="B55" s="107">
        <f t="shared" si="0"/>
        <v>491074.77</v>
      </c>
      <c r="C55" s="35">
        <f t="shared" si="5"/>
        <v>0.00016934031450971702</v>
      </c>
      <c r="D55" s="43">
        <f>'[1]1100'!$D45</f>
        <v>149966.56</v>
      </c>
      <c r="E55" s="43">
        <f>'[2]1100'!$D45</f>
        <v>4614.85</v>
      </c>
      <c r="F55" s="43">
        <f>'[3]1100'!$D45</f>
        <v>0</v>
      </c>
      <c r="G55" s="43">
        <f>'[4]1100'!$D45</f>
        <v>0</v>
      </c>
      <c r="H55" s="43">
        <f>'[5]1100'!$D45</f>
        <v>336493.36</v>
      </c>
      <c r="I55" s="31"/>
      <c r="J55" s="1" t="s">
        <v>98</v>
      </c>
      <c r="K55" s="107">
        <f t="shared" si="2"/>
        <v>22986532.460000005</v>
      </c>
      <c r="L55" s="35">
        <f t="shared" si="4"/>
        <v>0.00792658648756119</v>
      </c>
      <c r="M55" s="42">
        <f>'[1]1100'!$L44</f>
        <v>7577705.04</v>
      </c>
      <c r="N55" s="42">
        <f>'[2]1100'!$L44</f>
        <v>6060195.99</v>
      </c>
      <c r="O55" s="42">
        <f>'[3]1100'!$L44</f>
        <v>4529192.96</v>
      </c>
      <c r="P55" s="42">
        <f>'[4]1100'!$L44</f>
        <v>2008949.03</v>
      </c>
      <c r="Q55" s="42">
        <f>'[5]1100'!$L44</f>
        <v>2810489.44</v>
      </c>
    </row>
    <row r="56" spans="1:17" s="32" customFormat="1" ht="18" customHeight="1">
      <c r="A56" s="31" t="s">
        <v>93</v>
      </c>
      <c r="B56" s="107">
        <f t="shared" si="0"/>
        <v>-5339769.04</v>
      </c>
      <c r="C56" s="35">
        <f t="shared" si="5"/>
        <v>-0.0018413451960540544</v>
      </c>
      <c r="D56" s="43">
        <f>'[1]1100'!$D46</f>
        <v>-476237.16</v>
      </c>
      <c r="E56" s="43">
        <f>'[2]1100'!$D46</f>
        <v>-2026695.24</v>
      </c>
      <c r="F56" s="43">
        <f>'[3]1100'!$D46</f>
        <v>0</v>
      </c>
      <c r="G56" s="43">
        <f>'[4]1100'!$D46</f>
        <v>-1661344.09</v>
      </c>
      <c r="H56" s="43">
        <f>'[5]1100'!$D46</f>
        <v>-1175492.55</v>
      </c>
      <c r="I56" s="31"/>
      <c r="J56" s="1" t="s">
        <v>140</v>
      </c>
      <c r="K56" s="107">
        <f t="shared" si="2"/>
        <v>22890667.87</v>
      </c>
      <c r="L56" s="35">
        <f t="shared" si="4"/>
        <v>0.007893528915043373</v>
      </c>
      <c r="M56" s="42">
        <f>'[1]1100'!$L45</f>
        <v>16239303.66</v>
      </c>
      <c r="N56" s="42">
        <f>'[2]1100'!$L45</f>
        <v>4129531.95</v>
      </c>
      <c r="O56" s="42">
        <f>'[3]1100'!$L45</f>
        <v>2199429.39</v>
      </c>
      <c r="P56" s="42">
        <f>'[4]1100'!$L45</f>
        <v>0</v>
      </c>
      <c r="Q56" s="42">
        <f>'[5]1100'!$L45</f>
        <v>322402.87</v>
      </c>
    </row>
    <row r="57" spans="1:17" s="32" customFormat="1" ht="18" customHeight="1">
      <c r="A57" s="60" t="s">
        <v>100</v>
      </c>
      <c r="B57" s="33">
        <f>SUM(D57:H57)</f>
        <v>41613199.98</v>
      </c>
      <c r="C57" s="34">
        <f t="shared" si="5"/>
        <v>0.014349734099287872</v>
      </c>
      <c r="D57" s="43">
        <f>'[1]1100'!$D47</f>
        <v>1160115.3900000001</v>
      </c>
      <c r="E57" s="43">
        <f>'[2]1100'!$D47</f>
        <v>7218.76</v>
      </c>
      <c r="F57" s="43">
        <f>'[3]1100'!$D47</f>
        <v>0</v>
      </c>
      <c r="G57" s="43">
        <f>'[4]1100'!$D47</f>
        <v>33847019.01</v>
      </c>
      <c r="H57" s="43">
        <f>'[5]1100'!$D47</f>
        <v>6598846.82</v>
      </c>
      <c r="I57" s="31"/>
      <c r="J57" s="1" t="s">
        <v>141</v>
      </c>
      <c r="K57" s="36">
        <f t="shared" si="2"/>
        <v>307865.44</v>
      </c>
      <c r="L57" s="35">
        <f t="shared" si="4"/>
        <v>0.00010616312142501724</v>
      </c>
      <c r="M57" s="42">
        <f>'[1]1100'!$L46</f>
        <v>117391.59</v>
      </c>
      <c r="N57" s="42">
        <f>'[2]1100'!$L46</f>
        <v>28376.69</v>
      </c>
      <c r="O57" s="42">
        <f>'[3]1100'!$L46</f>
        <v>0</v>
      </c>
      <c r="P57" s="42">
        <f>'[4]1100'!$L46</f>
        <v>156020.17</v>
      </c>
      <c r="Q57" s="42">
        <f>'[5]1100'!$L46</f>
        <v>6076.99</v>
      </c>
    </row>
    <row r="58" spans="1:17" s="32" customFormat="1" ht="18" customHeight="1">
      <c r="A58" s="31" t="s">
        <v>101</v>
      </c>
      <c r="B58" s="107">
        <f t="shared" si="0"/>
        <v>620061.74</v>
      </c>
      <c r="C58" s="35">
        <f t="shared" si="5"/>
        <v>0.0002138196797751234</v>
      </c>
      <c r="D58" s="43">
        <f>'[1]1100'!$D48</f>
        <v>620061.74</v>
      </c>
      <c r="E58" s="43">
        <f>'[2]1100'!$D48</f>
        <v>0</v>
      </c>
      <c r="F58" s="43">
        <f>'[3]1100'!$D48</f>
        <v>0</v>
      </c>
      <c r="G58" s="43">
        <f>'[4]1100'!$D48</f>
        <v>0</v>
      </c>
      <c r="H58" s="43">
        <f>'[5]1100'!$D48</f>
        <v>0</v>
      </c>
      <c r="I58" s="31"/>
      <c r="J58" s="60" t="s">
        <v>142</v>
      </c>
      <c r="K58" s="109">
        <f t="shared" si="2"/>
        <v>213399390.95999998</v>
      </c>
      <c r="L58" s="34">
        <f t="shared" si="4"/>
        <v>0.07358781633466623</v>
      </c>
      <c r="M58" s="42">
        <f>'[1]1100'!$L47</f>
        <v>73035813.48</v>
      </c>
      <c r="N58" s="42">
        <f>'[2]1100'!$L47</f>
        <v>55798358.12</v>
      </c>
      <c r="O58" s="42">
        <f>'[3]1100'!$L47</f>
        <v>35618347.4</v>
      </c>
      <c r="P58" s="42">
        <f>'[4]1100'!$L47</f>
        <v>28833673.79</v>
      </c>
      <c r="Q58" s="42">
        <f>'[5]1100'!$L47</f>
        <v>20113198.17</v>
      </c>
    </row>
    <row r="59" spans="1:17" s="32" customFormat="1" ht="18" customHeight="1">
      <c r="A59" s="31" t="s">
        <v>102</v>
      </c>
      <c r="B59" s="107">
        <f t="shared" si="0"/>
        <v>40441865.83</v>
      </c>
      <c r="C59" s="34">
        <f t="shared" si="5"/>
        <v>0.013945815784858947</v>
      </c>
      <c r="D59" s="43">
        <f>'[1]1100'!$D49</f>
        <v>0</v>
      </c>
      <c r="E59" s="43">
        <f>'[2]1100'!$D49</f>
        <v>0</v>
      </c>
      <c r="F59" s="43">
        <f>'[3]1100'!$D49</f>
        <v>0</v>
      </c>
      <c r="G59" s="43">
        <f>'[4]1100'!$D49</f>
        <v>33843019.01</v>
      </c>
      <c r="H59" s="43">
        <f>'[5]1100'!$D49</f>
        <v>6598846.82</v>
      </c>
      <c r="I59" s="31"/>
      <c r="J59" s="209" t="s">
        <v>143</v>
      </c>
      <c r="K59" s="207">
        <f t="shared" si="2"/>
        <v>703485.77</v>
      </c>
      <c r="L59" s="208">
        <f t="shared" si="4"/>
        <v>0.00024258729794835612</v>
      </c>
      <c r="M59" s="42">
        <f>'[1]1100'!$L48</f>
        <v>0</v>
      </c>
      <c r="N59" s="42">
        <f>'[2]1100'!$L48</f>
        <v>0</v>
      </c>
      <c r="O59" s="42">
        <f>'[3]1100'!$L48</f>
        <v>0</v>
      </c>
      <c r="P59" s="42">
        <f>'[4]1100'!$L48</f>
        <v>703485.77</v>
      </c>
      <c r="Q59" s="42">
        <f>'[5]1100'!$L48</f>
        <v>0</v>
      </c>
    </row>
    <row r="60" spans="1:17" s="32" customFormat="1" ht="18" customHeight="1">
      <c r="A60" s="31" t="s">
        <v>103</v>
      </c>
      <c r="B60" s="107">
        <f t="shared" si="0"/>
        <v>551272.41</v>
      </c>
      <c r="C60" s="35">
        <f t="shared" si="5"/>
        <v>0.00019009863465380163</v>
      </c>
      <c r="D60" s="43">
        <f>'[1]1100'!$D50</f>
        <v>540053.65</v>
      </c>
      <c r="E60" s="43">
        <f>'[2]1100'!$D50</f>
        <v>7218.76</v>
      </c>
      <c r="F60" s="43">
        <f>'[3]1100'!$D50</f>
        <v>0</v>
      </c>
      <c r="G60" s="43">
        <f>'[4]1100'!$D50</f>
        <v>4000</v>
      </c>
      <c r="H60" s="43">
        <f>'[5]1100'!$D50</f>
        <v>0</v>
      </c>
      <c r="I60" s="31"/>
      <c r="J60" s="31" t="s">
        <v>144</v>
      </c>
      <c r="K60" s="107">
        <f t="shared" si="2"/>
        <v>703485.77</v>
      </c>
      <c r="L60" s="35">
        <f t="shared" si="4"/>
        <v>0.00024258729794835612</v>
      </c>
      <c r="M60" s="42">
        <f>'[1]1100'!$L49</f>
        <v>0</v>
      </c>
      <c r="N60" s="42">
        <f>'[2]1100'!$L49</f>
        <v>0</v>
      </c>
      <c r="O60" s="42">
        <f>'[3]1100'!$L49</f>
        <v>0</v>
      </c>
      <c r="P60" s="42">
        <f>'[4]1100'!$L49</f>
        <v>703485.77</v>
      </c>
      <c r="Q60" s="42">
        <f>'[5]1100'!$L49</f>
        <v>0</v>
      </c>
    </row>
    <row r="61" spans="1:17" s="32" customFormat="1" ht="18" customHeight="1">
      <c r="A61" s="31" t="s">
        <v>85</v>
      </c>
      <c r="B61" s="107">
        <f t="shared" si="0"/>
        <v>0</v>
      </c>
      <c r="C61" s="35" t="str">
        <f t="shared" si="5"/>
        <v>--</v>
      </c>
      <c r="D61" s="43">
        <f>'[1]1100'!$D51</f>
        <v>0</v>
      </c>
      <c r="E61" s="43">
        <f>'[2]1100'!$D51</f>
        <v>0</v>
      </c>
      <c r="F61" s="43">
        <f>'[3]1100'!$D51</f>
        <v>0</v>
      </c>
      <c r="G61" s="43">
        <f>'[4]1100'!$D51</f>
        <v>0</v>
      </c>
      <c r="H61" s="43">
        <f>'[5]1100'!$D51</f>
        <v>0</v>
      </c>
      <c r="I61" s="31"/>
      <c r="J61" s="3"/>
      <c r="K61" s="107"/>
      <c r="L61" s="34"/>
      <c r="M61" s="42"/>
      <c r="N61" s="42"/>
      <c r="O61" s="42"/>
      <c r="P61" s="42"/>
      <c r="Q61" s="42"/>
    </row>
    <row r="62" spans="1:12" s="32" customFormat="1" ht="18" customHeight="1">
      <c r="A62" s="60" t="s">
        <v>104</v>
      </c>
      <c r="B62" s="33">
        <f>SUM(D62:H62)</f>
        <v>158684854.14</v>
      </c>
      <c r="C62" s="34">
        <f t="shared" si="5"/>
        <v>0.05472026817422562</v>
      </c>
      <c r="D62" s="43">
        <f>'[1]1100'!$D52</f>
        <v>5951684.22</v>
      </c>
      <c r="E62" s="43">
        <f>'[2]1100'!$D52</f>
        <v>29931496.76</v>
      </c>
      <c r="F62" s="43">
        <f>'[3]1100'!$D52</f>
        <v>33675655.67</v>
      </c>
      <c r="G62" s="43">
        <f>'[4]1100'!$D52</f>
        <v>16055020.47</v>
      </c>
      <c r="H62" s="43">
        <f>'[5]1100'!$D52</f>
        <v>73070997.02</v>
      </c>
      <c r="I62" s="31"/>
      <c r="J62" s="31"/>
      <c r="K62" s="33"/>
      <c r="L62" s="34"/>
    </row>
    <row r="63" spans="1:12" s="32" customFormat="1" ht="18" customHeight="1">
      <c r="A63" s="60" t="s">
        <v>105</v>
      </c>
      <c r="B63" s="33">
        <f>SUM(D63:H63)</f>
        <v>229589.33</v>
      </c>
      <c r="C63" s="34">
        <f t="shared" si="5"/>
        <v>7.917069197074655E-05</v>
      </c>
      <c r="D63" s="43">
        <f>'[1]1100'!$D53</f>
        <v>0</v>
      </c>
      <c r="E63" s="43">
        <f>'[2]1100'!$D53</f>
        <v>0</v>
      </c>
      <c r="F63" s="43">
        <f>'[3]1100'!$D53</f>
        <v>0</v>
      </c>
      <c r="G63" s="43">
        <f>'[4]1100'!$D53</f>
        <v>229589.33</v>
      </c>
      <c r="H63" s="43">
        <f>'[5]1100'!$D53</f>
        <v>0</v>
      </c>
      <c r="I63" s="31"/>
      <c r="J63" s="3"/>
      <c r="K63" s="33"/>
      <c r="L63" s="34"/>
    </row>
    <row r="64" spans="1:17" s="32" customFormat="1" ht="18" customHeight="1" thickBot="1">
      <c r="A64" s="210" t="s">
        <v>106</v>
      </c>
      <c r="B64" s="211">
        <f>SUM(D64:H64)</f>
        <v>2899928297.7699995</v>
      </c>
      <c r="C64" s="212">
        <f t="shared" si="5"/>
        <v>1</v>
      </c>
      <c r="D64" s="43">
        <f>'[1]1100'!$D54</f>
        <v>933664499.3399999</v>
      </c>
      <c r="E64" s="43">
        <f>'[2]1100'!$D54</f>
        <v>873760352.31</v>
      </c>
      <c r="F64" s="43">
        <f>'[3]1100'!$D54</f>
        <v>330888068.46000004</v>
      </c>
      <c r="G64" s="43">
        <f>'[4]1100'!$D54</f>
        <v>324604163.49999994</v>
      </c>
      <c r="H64" s="43">
        <f>'[5]1100'!$D54</f>
        <v>437011214.15999997</v>
      </c>
      <c r="I64" s="31"/>
      <c r="J64" s="210" t="s">
        <v>145</v>
      </c>
      <c r="K64" s="211">
        <f>SUM(M64:Q64)</f>
        <v>2899928297.7699995</v>
      </c>
      <c r="L64" s="212">
        <f>IF((K64/$K$64)=0,"--",K64/$K$64)</f>
        <v>1</v>
      </c>
      <c r="M64" s="42">
        <f>'[1]1100'!$L50</f>
        <v>933664499.3399998</v>
      </c>
      <c r="N64" s="42">
        <f>'[2]1100'!$L50</f>
        <v>873760352.31</v>
      </c>
      <c r="O64" s="42">
        <f>'[3]1100'!$L50</f>
        <v>330888068.46</v>
      </c>
      <c r="P64" s="42">
        <f>'[4]1100'!$L50</f>
        <v>324604163.49999994</v>
      </c>
      <c r="Q64" s="42">
        <f>'[5]1100'!$L50</f>
        <v>437011214.15999997</v>
      </c>
    </row>
    <row r="65" spans="2:11" s="32" customFormat="1" ht="18" customHeight="1">
      <c r="B65" s="39"/>
      <c r="C65" s="39"/>
      <c r="D65" s="35"/>
      <c r="E65" s="35"/>
      <c r="F65" s="35"/>
      <c r="G65" s="35"/>
      <c r="H65" s="35"/>
      <c r="I65" s="31"/>
      <c r="K65" s="39"/>
    </row>
    <row r="66" spans="2:11" s="32" customFormat="1" ht="18" customHeight="1">
      <c r="B66" s="39"/>
      <c r="C66" s="39"/>
      <c r="D66" s="35"/>
      <c r="E66" s="35"/>
      <c r="F66" s="35"/>
      <c r="G66" s="35"/>
      <c r="H66" s="35"/>
      <c r="I66" s="31"/>
      <c r="K66" s="39"/>
    </row>
    <row r="67" spans="1:11" s="32" customFormat="1" ht="18" customHeight="1">
      <c r="A67" s="60" t="s">
        <v>463</v>
      </c>
      <c r="B67" s="39"/>
      <c r="C67" s="39"/>
      <c r="D67" s="35"/>
      <c r="E67" s="35"/>
      <c r="F67" s="35"/>
      <c r="G67" s="35"/>
      <c r="H67" s="35"/>
      <c r="I67" s="31"/>
      <c r="K67" s="39"/>
    </row>
    <row r="68" spans="1:11" s="32" customFormat="1" ht="18" customHeight="1">
      <c r="A68" s="31" t="s">
        <v>461</v>
      </c>
      <c r="B68" s="39"/>
      <c r="C68" s="39"/>
      <c r="D68" s="35"/>
      <c r="E68" s="35"/>
      <c r="F68" s="35"/>
      <c r="G68" s="35"/>
      <c r="H68" s="35"/>
      <c r="I68" s="31"/>
      <c r="K68" s="39"/>
    </row>
    <row r="69" spans="2:11" s="32" customFormat="1" ht="18" customHeight="1">
      <c r="B69" s="39"/>
      <c r="C69" s="39"/>
      <c r="D69" s="35"/>
      <c r="E69" s="35"/>
      <c r="F69" s="35"/>
      <c r="G69" s="35"/>
      <c r="H69" s="35"/>
      <c r="I69" s="31"/>
      <c r="K69" s="39"/>
    </row>
    <row r="70" spans="2:11" s="32" customFormat="1" ht="18" customHeight="1">
      <c r="B70" s="39"/>
      <c r="C70" s="39"/>
      <c r="D70" s="34"/>
      <c r="E70" s="34"/>
      <c r="F70" s="34"/>
      <c r="G70" s="34"/>
      <c r="H70" s="34"/>
      <c r="I70" s="31"/>
      <c r="K70" s="39"/>
    </row>
    <row r="71" spans="2:11" s="32" customFormat="1" ht="18" customHeight="1">
      <c r="B71" s="39"/>
      <c r="C71" s="39"/>
      <c r="D71" s="35"/>
      <c r="E71" s="35"/>
      <c r="F71" s="35"/>
      <c r="G71" s="35"/>
      <c r="H71" s="35"/>
      <c r="I71" s="31"/>
      <c r="K71" s="39"/>
    </row>
    <row r="72" spans="1:12" s="32" customFormat="1" ht="18" customHeight="1">
      <c r="A72" s="3"/>
      <c r="B72" s="26"/>
      <c r="C72" s="26"/>
      <c r="D72" s="35"/>
      <c r="E72" s="35"/>
      <c r="F72" s="35"/>
      <c r="G72" s="35"/>
      <c r="H72" s="35"/>
      <c r="I72" s="31"/>
      <c r="J72" s="3"/>
      <c r="K72" s="26"/>
      <c r="L72" s="3"/>
    </row>
    <row r="73" spans="1:12" s="32" customFormat="1" ht="18" customHeight="1">
      <c r="A73" s="3"/>
      <c r="B73" s="26"/>
      <c r="C73" s="26"/>
      <c r="D73" s="35"/>
      <c r="E73" s="35"/>
      <c r="F73" s="35"/>
      <c r="G73" s="35"/>
      <c r="H73" s="35"/>
      <c r="I73" s="31"/>
      <c r="J73" s="3"/>
      <c r="K73" s="26"/>
      <c r="L73" s="3"/>
    </row>
    <row r="74" spans="1:12" s="32" customFormat="1" ht="18" customHeight="1">
      <c r="A74" s="3"/>
      <c r="B74" s="26"/>
      <c r="C74" s="26"/>
      <c r="D74" s="35"/>
      <c r="E74" s="35"/>
      <c r="F74" s="35"/>
      <c r="G74" s="35"/>
      <c r="H74" s="35"/>
      <c r="I74" s="31"/>
      <c r="J74" s="3"/>
      <c r="K74" s="26"/>
      <c r="L74" s="3"/>
    </row>
    <row r="75" spans="1:12" s="32" customFormat="1" ht="18" customHeight="1">
      <c r="A75" s="3"/>
      <c r="B75" s="26"/>
      <c r="C75" s="26"/>
      <c r="D75" s="35"/>
      <c r="E75" s="35"/>
      <c r="F75" s="35"/>
      <c r="G75" s="35"/>
      <c r="H75" s="35"/>
      <c r="I75" s="31"/>
      <c r="J75" s="3"/>
      <c r="K75" s="26"/>
      <c r="L75" s="3"/>
    </row>
    <row r="76" spans="1:12" s="32" customFormat="1" ht="18" customHeight="1">
      <c r="A76" s="3"/>
      <c r="B76" s="26"/>
      <c r="C76" s="26"/>
      <c r="D76" s="35"/>
      <c r="E76" s="35"/>
      <c r="F76" s="35"/>
      <c r="G76" s="35"/>
      <c r="H76" s="35"/>
      <c r="I76" s="31"/>
      <c r="J76" s="3"/>
      <c r="K76" s="26"/>
      <c r="L76" s="3"/>
    </row>
    <row r="77" spans="1:12" s="32" customFormat="1" ht="18" customHeight="1">
      <c r="A77" s="3"/>
      <c r="B77" s="26"/>
      <c r="C77" s="26"/>
      <c r="D77" s="34"/>
      <c r="E77" s="34"/>
      <c r="F77" s="34"/>
      <c r="G77" s="34"/>
      <c r="H77" s="34"/>
      <c r="I77" s="31"/>
      <c r="J77" s="3"/>
      <c r="K77" s="26"/>
      <c r="L77" s="3"/>
    </row>
    <row r="78" spans="1:12" s="32" customFormat="1" ht="18" customHeight="1">
      <c r="A78" s="3"/>
      <c r="B78" s="26"/>
      <c r="C78" s="26"/>
      <c r="D78" s="35"/>
      <c r="E78" s="35"/>
      <c r="F78" s="35"/>
      <c r="G78" s="35"/>
      <c r="H78" s="35"/>
      <c r="I78" s="31"/>
      <c r="J78" s="3"/>
      <c r="K78" s="26"/>
      <c r="L78" s="3"/>
    </row>
    <row r="79" spans="1:12" s="32" customFormat="1" ht="18" customHeight="1">
      <c r="A79" s="3"/>
      <c r="B79" s="26"/>
      <c r="C79" s="26"/>
      <c r="D79" s="35"/>
      <c r="E79" s="35"/>
      <c r="F79" s="35"/>
      <c r="G79" s="35"/>
      <c r="H79" s="35"/>
      <c r="I79" s="31"/>
      <c r="J79" s="3"/>
      <c r="K79" s="26"/>
      <c r="L79" s="3"/>
    </row>
    <row r="80" spans="1:12" s="32" customFormat="1" ht="18" customHeight="1">
      <c r="A80" s="3"/>
      <c r="B80" s="26"/>
      <c r="C80" s="26"/>
      <c r="D80" s="35"/>
      <c r="E80" s="35"/>
      <c r="F80" s="35"/>
      <c r="G80" s="35"/>
      <c r="H80" s="35"/>
      <c r="I80" s="31"/>
      <c r="J80" s="3"/>
      <c r="K80" s="26"/>
      <c r="L80" s="3"/>
    </row>
    <row r="81" spans="1:12" s="32" customFormat="1" ht="18" customHeight="1">
      <c r="A81" s="3"/>
      <c r="B81" s="26"/>
      <c r="C81" s="26"/>
      <c r="D81" s="35"/>
      <c r="E81" s="35"/>
      <c r="F81" s="35"/>
      <c r="G81" s="35"/>
      <c r="H81" s="35"/>
      <c r="I81" s="31"/>
      <c r="J81" s="3"/>
      <c r="K81" s="26"/>
      <c r="L81" s="3"/>
    </row>
    <row r="82" spans="1:12" s="32" customFormat="1" ht="18" customHeight="1">
      <c r="A82" s="3"/>
      <c r="B82" s="26"/>
      <c r="C82" s="26"/>
      <c r="D82" s="35"/>
      <c r="E82" s="35"/>
      <c r="F82" s="35"/>
      <c r="G82" s="35"/>
      <c r="H82" s="35"/>
      <c r="I82" s="31"/>
      <c r="J82" s="3"/>
      <c r="K82" s="26"/>
      <c r="L82" s="3"/>
    </row>
    <row r="83" spans="1:12" s="32" customFormat="1" ht="18" customHeight="1">
      <c r="A83" s="3"/>
      <c r="B83" s="26"/>
      <c r="C83" s="26"/>
      <c r="D83" s="35"/>
      <c r="E83" s="35"/>
      <c r="F83" s="35"/>
      <c r="G83" s="35"/>
      <c r="H83" s="35"/>
      <c r="I83" s="31"/>
      <c r="J83" s="3"/>
      <c r="K83" s="26"/>
      <c r="L83" s="3"/>
    </row>
    <row r="84" spans="1:12" s="32" customFormat="1" ht="18" customHeight="1">
      <c r="A84" s="3"/>
      <c r="B84" s="26"/>
      <c r="C84" s="26"/>
      <c r="D84" s="34"/>
      <c r="E84" s="34"/>
      <c r="F84" s="34"/>
      <c r="G84" s="34"/>
      <c r="H84" s="34"/>
      <c r="I84" s="31"/>
      <c r="J84" s="3"/>
      <c r="K84" s="26"/>
      <c r="L84" s="3"/>
    </row>
    <row r="85" spans="1:12" s="32" customFormat="1" ht="18" customHeight="1">
      <c r="A85" s="3"/>
      <c r="B85" s="26"/>
      <c r="C85" s="26"/>
      <c r="D85" s="34"/>
      <c r="E85" s="34"/>
      <c r="F85" s="34"/>
      <c r="G85" s="34"/>
      <c r="H85" s="34"/>
      <c r="I85" s="31"/>
      <c r="J85" s="3"/>
      <c r="K85" s="26"/>
      <c r="L85" s="3"/>
    </row>
    <row r="86" spans="1:12" s="32" customFormat="1" ht="18" customHeight="1">
      <c r="A86" s="3"/>
      <c r="B86" s="26"/>
      <c r="C86" s="26"/>
      <c r="D86" s="35"/>
      <c r="E86" s="35"/>
      <c r="F86" s="35"/>
      <c r="G86" s="35"/>
      <c r="H86" s="35"/>
      <c r="I86" s="31"/>
      <c r="J86" s="3"/>
      <c r="K86" s="26"/>
      <c r="L86" s="3"/>
    </row>
    <row r="87" spans="4:18" ht="12.95" customHeight="1">
      <c r="D87" s="35"/>
      <c r="E87" s="35"/>
      <c r="F87" s="35"/>
      <c r="G87" s="35"/>
      <c r="H87" s="35"/>
      <c r="I87" s="17"/>
      <c r="M87" s="32"/>
      <c r="N87" s="32"/>
      <c r="O87" s="32"/>
      <c r="P87" s="32"/>
      <c r="Q87" s="32"/>
      <c r="R87" s="32"/>
    </row>
    <row r="88" spans="1:18" s="32" customFormat="1" ht="12.95" customHeight="1">
      <c r="A88" s="3"/>
      <c r="B88" s="26"/>
      <c r="C88" s="26"/>
      <c r="D88" s="40"/>
      <c r="E88" s="40"/>
      <c r="F88" s="40"/>
      <c r="G88" s="40"/>
      <c r="H88" s="40"/>
      <c r="J88" s="3"/>
      <c r="K88" s="26"/>
      <c r="L88" s="3"/>
      <c r="R88" s="3"/>
    </row>
    <row r="89" spans="4:18" ht="18" customHeight="1">
      <c r="D89" s="38"/>
      <c r="E89" s="38"/>
      <c r="F89" s="38"/>
      <c r="G89" s="38"/>
      <c r="H89" s="38"/>
      <c r="I89" s="26"/>
      <c r="R89" s="32"/>
    </row>
    <row r="90" spans="1:18" s="32" customFormat="1" ht="15.75">
      <c r="A90" s="3"/>
      <c r="B90" s="26"/>
      <c r="C90" s="26"/>
      <c r="D90" s="39"/>
      <c r="E90" s="39"/>
      <c r="F90" s="39"/>
      <c r="G90" s="39"/>
      <c r="H90" s="39"/>
      <c r="J90" s="3"/>
      <c r="K90" s="26"/>
      <c r="L90" s="3"/>
      <c r="R90" s="3"/>
    </row>
    <row r="91" spans="1:17" s="32" customFormat="1" ht="15.75">
      <c r="A91" s="3"/>
      <c r="B91" s="26"/>
      <c r="C91" s="26"/>
      <c r="D91" s="26"/>
      <c r="E91" s="26"/>
      <c r="F91" s="26"/>
      <c r="G91" s="26"/>
      <c r="H91" s="26"/>
      <c r="J91" s="3"/>
      <c r="K91" s="26"/>
      <c r="L91" s="3"/>
      <c r="M91" s="3"/>
      <c r="N91" s="3"/>
      <c r="O91" s="3"/>
      <c r="P91" s="3"/>
      <c r="Q91" s="3"/>
    </row>
    <row r="92" spans="1:12" s="32" customFormat="1" ht="15.75">
      <c r="A92" s="3"/>
      <c r="B92" s="26"/>
      <c r="C92" s="26"/>
      <c r="D92" s="39"/>
      <c r="E92" s="39"/>
      <c r="F92" s="39"/>
      <c r="G92" s="39"/>
      <c r="H92" s="39"/>
      <c r="J92" s="3"/>
      <c r="K92" s="26"/>
      <c r="L92" s="3"/>
    </row>
    <row r="93" spans="1:12" s="32" customFormat="1" ht="15.75">
      <c r="A93" s="3"/>
      <c r="B93" s="26"/>
      <c r="C93" s="26"/>
      <c r="D93" s="39"/>
      <c r="E93" s="39"/>
      <c r="F93" s="39"/>
      <c r="G93" s="39"/>
      <c r="H93" s="39"/>
      <c r="J93" s="3"/>
      <c r="K93" s="26"/>
      <c r="L93" s="3"/>
    </row>
    <row r="94" spans="1:12" s="32" customFormat="1" ht="15.75">
      <c r="A94" s="3"/>
      <c r="B94" s="26"/>
      <c r="C94" s="26"/>
      <c r="D94" s="39"/>
      <c r="E94" s="39"/>
      <c r="F94" s="39"/>
      <c r="G94" s="39"/>
      <c r="H94" s="39"/>
      <c r="J94" s="3"/>
      <c r="K94" s="26"/>
      <c r="L94" s="3"/>
    </row>
    <row r="95" spans="1:12" s="32" customFormat="1" ht="15.75">
      <c r="A95" s="3"/>
      <c r="B95" s="26"/>
      <c r="C95" s="26"/>
      <c r="D95" s="39"/>
      <c r="E95" s="39"/>
      <c r="F95" s="39"/>
      <c r="G95" s="39"/>
      <c r="H95" s="39"/>
      <c r="J95" s="3"/>
      <c r="K95" s="26"/>
      <c r="L95" s="3"/>
    </row>
    <row r="96" spans="1:12" s="32" customFormat="1" ht="15.75">
      <c r="A96" s="3"/>
      <c r="B96" s="26"/>
      <c r="C96" s="26"/>
      <c r="D96" s="39"/>
      <c r="E96" s="39"/>
      <c r="F96" s="39"/>
      <c r="G96" s="39"/>
      <c r="H96" s="39"/>
      <c r="J96" s="3"/>
      <c r="K96" s="26"/>
      <c r="L96" s="3"/>
    </row>
    <row r="97" spans="4:18" ht="15.75">
      <c r="D97" s="39"/>
      <c r="E97" s="39"/>
      <c r="F97" s="39"/>
      <c r="G97" s="39"/>
      <c r="H97" s="39"/>
      <c r="M97" s="32"/>
      <c r="N97" s="32"/>
      <c r="O97" s="32"/>
      <c r="P97" s="32"/>
      <c r="Q97" s="32"/>
      <c r="R97" s="32"/>
    </row>
    <row r="98" spans="4:17" ht="15.75">
      <c r="D98" s="39"/>
      <c r="E98" s="39"/>
      <c r="F98" s="39"/>
      <c r="G98" s="39"/>
      <c r="H98" s="39"/>
      <c r="M98" s="32"/>
      <c r="N98" s="32"/>
      <c r="O98" s="32"/>
      <c r="P98" s="32"/>
      <c r="Q98" s="32"/>
    </row>
  </sheetData>
  <mergeCells count="1">
    <mergeCell ref="K5:L5"/>
  </mergeCells>
  <printOptions horizontalCentered="1"/>
  <pageMargins left="0.31496062992125984" right="0.31496062992125984" top="0.5905511811023623" bottom="0.5905511811023623" header="0" footer="0"/>
  <pageSetup fitToHeight="1" fitToWidth="1" horizontalDpi="600" verticalDpi="600" orientation="portrait" paperSize="9" scale="50"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89"/>
  <sheetViews>
    <sheetView zoomScale="75" zoomScaleNormal="75" workbookViewId="0" topLeftCell="A1"/>
  </sheetViews>
  <sheetFormatPr defaultColWidth="11.421875" defaultRowHeight="12.75"/>
  <cols>
    <col min="1" max="1" width="91.140625" style="3" customWidth="1"/>
    <col min="2" max="2" width="19.7109375" style="26" customWidth="1"/>
    <col min="3" max="3" width="22.57421875" style="17" hidden="1" customWidth="1"/>
    <col min="4" max="4" width="34.28125" style="17" hidden="1" customWidth="1"/>
    <col min="5" max="5" width="23.421875" style="17" hidden="1" customWidth="1"/>
    <col min="6" max="6" width="19.421875" style="17" hidden="1" customWidth="1"/>
    <col min="7" max="7" width="30.421875" style="17" hidden="1" customWidth="1"/>
    <col min="8" max="8" width="4.00390625" style="3" customWidth="1"/>
    <col min="9" max="9" width="17.8515625" style="3" customWidth="1"/>
    <col min="10" max="10" width="11.421875" style="3" customWidth="1"/>
    <col min="11" max="11" width="14.421875" style="3" customWidth="1"/>
    <col min="12" max="12" width="18.7109375" style="3" customWidth="1"/>
    <col min="13" max="16384" width="11.421875" style="3" customWidth="1"/>
  </cols>
  <sheetData>
    <row r="1" spans="1:83" ht="60" customHeight="1">
      <c r="A1" s="5"/>
      <c r="B1" s="6"/>
      <c r="C1" s="15"/>
      <c r="D1" s="15"/>
      <c r="E1" s="15"/>
      <c r="F1" s="15"/>
      <c r="G1" s="15"/>
      <c r="H1" s="6"/>
      <c r="I1" s="6"/>
      <c r="J1" s="6"/>
      <c r="K1" s="7" t="s">
        <v>9</v>
      </c>
      <c r="L1" s="8">
        <f>Balance!L1</f>
        <v>2016</v>
      </c>
      <c r="M1" s="45"/>
      <c r="N1" s="45"/>
      <c r="O1" s="45"/>
      <c r="P1" s="45"/>
      <c r="Q1" s="45"/>
      <c r="R1" s="45"/>
      <c r="S1" s="45"/>
      <c r="T1" s="45"/>
      <c r="U1" s="45"/>
      <c r="V1" s="45"/>
      <c r="W1" s="45"/>
      <c r="X1" s="45"/>
      <c r="Y1" s="45"/>
      <c r="Z1" s="45"/>
      <c r="AA1" s="45"/>
      <c r="AB1" s="45"/>
      <c r="AC1" s="45"/>
      <c r="AD1" s="45"/>
      <c r="AE1" s="45"/>
      <c r="AF1" s="45"/>
      <c r="AG1" s="45"/>
      <c r="AH1" s="46"/>
      <c r="AI1" s="46"/>
      <c r="AJ1" s="46"/>
      <c r="AK1" s="46"/>
      <c r="AL1" s="46"/>
      <c r="AM1" s="46"/>
      <c r="AN1" s="46"/>
      <c r="AO1" s="46"/>
      <c r="AP1" s="46"/>
      <c r="AQ1" s="46"/>
      <c r="AR1" s="46"/>
      <c r="AS1" s="46"/>
      <c r="AT1" s="46"/>
      <c r="AU1" s="46"/>
      <c r="AV1" s="46"/>
      <c r="AW1" s="46"/>
      <c r="AX1" s="46"/>
      <c r="AY1" s="46"/>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row>
    <row r="2" spans="1:83" ht="12.95" customHeight="1" thickBot="1">
      <c r="A2" s="5"/>
      <c r="B2" s="6"/>
      <c r="C2" s="15"/>
      <c r="D2" s="15"/>
      <c r="E2" s="15"/>
      <c r="F2" s="15"/>
      <c r="G2" s="15"/>
      <c r="H2" s="6"/>
      <c r="I2" s="6"/>
      <c r="J2" s="6"/>
      <c r="K2" s="9"/>
      <c r="L2" s="9"/>
      <c r="M2" s="45"/>
      <c r="N2" s="45"/>
      <c r="O2" s="45"/>
      <c r="P2" s="45"/>
      <c r="Q2" s="45"/>
      <c r="R2" s="45"/>
      <c r="S2" s="45"/>
      <c r="T2" s="45"/>
      <c r="U2" s="45"/>
      <c r="V2" s="45"/>
      <c r="W2" s="45"/>
      <c r="X2" s="45"/>
      <c r="Y2" s="45"/>
      <c r="Z2" s="45"/>
      <c r="AA2" s="45"/>
      <c r="AB2" s="45"/>
      <c r="AC2" s="45"/>
      <c r="AD2" s="45"/>
      <c r="AE2" s="45"/>
      <c r="AF2" s="45"/>
      <c r="AG2" s="45"/>
      <c r="AH2" s="46"/>
      <c r="AI2" s="46"/>
      <c r="AJ2" s="46"/>
      <c r="AK2" s="46"/>
      <c r="AL2" s="46"/>
      <c r="AM2" s="46"/>
      <c r="AN2" s="46"/>
      <c r="AO2" s="46"/>
      <c r="AP2" s="46"/>
      <c r="AQ2" s="46"/>
      <c r="AR2" s="46"/>
      <c r="AS2" s="46"/>
      <c r="AT2" s="46"/>
      <c r="AU2" s="46"/>
      <c r="AV2" s="46"/>
      <c r="AW2" s="46"/>
      <c r="AX2" s="46"/>
      <c r="AY2" s="46"/>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row>
    <row r="3" spans="1:83" ht="33" customHeight="1">
      <c r="A3" s="70" t="str">
        <f>"                                            "&amp;"UNIVERSIDADES"</f>
        <v xml:space="preserve">                                            UNIVERSIDADES</v>
      </c>
      <c r="B3" s="10"/>
      <c r="C3" s="15"/>
      <c r="D3" s="15"/>
      <c r="E3" s="15"/>
      <c r="F3" s="15"/>
      <c r="G3" s="15"/>
      <c r="H3" s="10"/>
      <c r="I3" s="11"/>
      <c r="J3" s="11"/>
      <c r="K3" s="12"/>
      <c r="L3" s="13"/>
      <c r="M3" s="45"/>
      <c r="N3" s="45"/>
      <c r="O3" s="45"/>
      <c r="P3" s="45"/>
      <c r="Q3" s="45"/>
      <c r="R3" s="45"/>
      <c r="S3" s="45"/>
      <c r="T3" s="45"/>
      <c r="U3" s="45"/>
      <c r="V3" s="45"/>
      <c r="W3" s="45"/>
      <c r="X3" s="45"/>
      <c r="Y3" s="45"/>
      <c r="Z3" s="45"/>
      <c r="AA3" s="45"/>
      <c r="AB3" s="45"/>
      <c r="AC3" s="45"/>
      <c r="AD3" s="45"/>
      <c r="AE3" s="45"/>
      <c r="AF3" s="45"/>
      <c r="AG3" s="45"/>
      <c r="AH3" s="47"/>
      <c r="AI3" s="47"/>
      <c r="AJ3" s="47"/>
      <c r="AK3" s="47"/>
      <c r="AL3" s="47"/>
      <c r="AM3" s="47"/>
      <c r="AN3" s="47"/>
      <c r="AO3" s="47"/>
      <c r="AP3" s="47"/>
      <c r="AQ3" s="47"/>
      <c r="AR3" s="47"/>
      <c r="AS3" s="47"/>
      <c r="AT3" s="47"/>
      <c r="AU3" s="47"/>
      <c r="AV3" s="47"/>
      <c r="AW3" s="47"/>
      <c r="AX3" s="47"/>
      <c r="AY3" s="47"/>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row>
    <row r="4" spans="1:83" ht="20.1" customHeight="1">
      <c r="A4" s="14" t="s">
        <v>33</v>
      </c>
      <c r="B4" s="15"/>
      <c r="C4" s="15"/>
      <c r="D4" s="15"/>
      <c r="E4" s="15"/>
      <c r="F4" s="15"/>
      <c r="G4" s="15"/>
      <c r="H4" s="15"/>
      <c r="I4" s="14"/>
      <c r="J4" s="14"/>
      <c r="K4" s="16"/>
      <c r="L4" s="17"/>
      <c r="M4" s="45"/>
      <c r="N4" s="45"/>
      <c r="O4" s="45"/>
      <c r="P4" s="45"/>
      <c r="Q4" s="45"/>
      <c r="R4" s="45"/>
      <c r="S4" s="45"/>
      <c r="T4" s="45"/>
      <c r="U4" s="45"/>
      <c r="V4" s="45"/>
      <c r="W4" s="45"/>
      <c r="X4" s="45"/>
      <c r="Y4" s="45"/>
      <c r="Z4" s="45"/>
      <c r="AA4" s="45"/>
      <c r="AB4" s="45"/>
      <c r="AC4" s="45"/>
      <c r="AD4" s="45"/>
      <c r="AE4" s="45"/>
      <c r="AF4" s="45"/>
      <c r="AG4" s="45"/>
      <c r="AH4" s="47"/>
      <c r="AI4" s="47"/>
      <c r="AJ4" s="47"/>
      <c r="AK4" s="47"/>
      <c r="AL4" s="47"/>
      <c r="AM4" s="47"/>
      <c r="AN4" s="47"/>
      <c r="AO4" s="47"/>
      <c r="AP4" s="47"/>
      <c r="AQ4" s="47"/>
      <c r="AR4" s="47"/>
      <c r="AS4" s="47"/>
      <c r="AT4" s="47"/>
      <c r="AU4" s="47"/>
      <c r="AV4" s="47"/>
      <c r="AW4" s="47"/>
      <c r="AX4" s="47"/>
      <c r="AY4" s="47"/>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row>
    <row r="5" spans="1:83" ht="18" customHeight="1" thickBot="1">
      <c r="A5" s="18"/>
      <c r="B5" s="19"/>
      <c r="C5" s="21"/>
      <c r="D5" s="21"/>
      <c r="E5" s="21"/>
      <c r="F5" s="21"/>
      <c r="G5" s="21"/>
      <c r="H5" s="19"/>
      <c r="I5" s="19"/>
      <c r="J5" s="19"/>
      <c r="K5" s="71" t="str">
        <f>"Población a 01/01/"&amp;L1</f>
        <v>Población a 01/01/2016</v>
      </c>
      <c r="L5" s="73">
        <f>Balance!K5</f>
        <v>4959968</v>
      </c>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row>
    <row r="6" spans="1:83" ht="15" customHeight="1">
      <c r="A6" s="20"/>
      <c r="B6" s="21"/>
      <c r="C6" s="21"/>
      <c r="D6" s="21"/>
      <c r="E6" s="21"/>
      <c r="F6" s="21"/>
      <c r="G6" s="21"/>
      <c r="H6" s="21"/>
      <c r="I6" s="21"/>
      <c r="J6" s="22"/>
      <c r="K6" s="16"/>
      <c r="L6" s="16"/>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row>
    <row r="7" spans="1:83" ht="12.95" customHeight="1">
      <c r="A7" s="20"/>
      <c r="B7" s="21"/>
      <c r="C7" s="21"/>
      <c r="D7" s="21"/>
      <c r="E7" s="21"/>
      <c r="F7" s="21"/>
      <c r="G7" s="21"/>
      <c r="H7" s="21"/>
      <c r="I7" s="21"/>
      <c r="J7" s="21"/>
      <c r="K7" s="21"/>
      <c r="L7" s="21"/>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row>
    <row r="8" spans="1:83" ht="21" customHeight="1">
      <c r="A8" s="23" t="s">
        <v>147</v>
      </c>
      <c r="B8" s="21"/>
      <c r="C8" s="21"/>
      <c r="D8" s="21"/>
      <c r="E8" s="21"/>
      <c r="F8" s="21"/>
      <c r="G8" s="21"/>
      <c r="H8" s="21"/>
      <c r="I8" s="23" t="s">
        <v>466</v>
      </c>
      <c r="J8" s="21"/>
      <c r="K8" s="21"/>
      <c r="L8" s="21"/>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row>
    <row r="9" spans="1:83" ht="18" customHeight="1">
      <c r="A9" s="24"/>
      <c r="B9" s="21"/>
      <c r="C9" s="41">
        <v>21500</v>
      </c>
      <c r="D9" s="41">
        <v>21501</v>
      </c>
      <c r="E9" s="41">
        <v>21502</v>
      </c>
      <c r="F9" s="41">
        <v>21503</v>
      </c>
      <c r="G9" s="41">
        <v>21504</v>
      </c>
      <c r="H9" s="21"/>
      <c r="I9" s="23" t="s">
        <v>467</v>
      </c>
      <c r="J9" s="21"/>
      <c r="K9" s="21"/>
      <c r="L9" s="21"/>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row>
    <row r="10" spans="1:83" ht="12.95" customHeight="1">
      <c r="A10" s="23"/>
      <c r="B10" s="21"/>
      <c r="C10" s="41" t="s">
        <v>484</v>
      </c>
      <c r="D10" s="41" t="s">
        <v>484</v>
      </c>
      <c r="E10" s="41" t="s">
        <v>484</v>
      </c>
      <c r="F10" s="41" t="s">
        <v>484</v>
      </c>
      <c r="G10" s="41" t="s">
        <v>484</v>
      </c>
      <c r="H10" s="21"/>
      <c r="I10" s="21"/>
      <c r="J10" s="21"/>
      <c r="K10" s="21"/>
      <c r="L10" s="21"/>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row>
    <row r="11" spans="1:12" ht="18" customHeight="1" thickBot="1">
      <c r="A11" s="25" t="s">
        <v>10</v>
      </c>
      <c r="B11" s="17"/>
      <c r="C11" s="41" t="s">
        <v>0</v>
      </c>
      <c r="D11" s="41" t="s">
        <v>1</v>
      </c>
      <c r="E11" s="41" t="s">
        <v>2</v>
      </c>
      <c r="F11" s="41" t="s">
        <v>3</v>
      </c>
      <c r="G11" s="41" t="s">
        <v>4</v>
      </c>
      <c r="H11" s="17"/>
      <c r="I11" s="21"/>
      <c r="J11" s="17"/>
      <c r="L11" s="52"/>
    </row>
    <row r="12" spans="1:12" ht="33" customHeight="1">
      <c r="A12" s="53" t="s">
        <v>14</v>
      </c>
      <c r="B12" s="28">
        <f>L1</f>
        <v>2016</v>
      </c>
      <c r="C12" s="41"/>
      <c r="D12" s="41"/>
      <c r="E12" s="41"/>
      <c r="F12" s="41"/>
      <c r="G12" s="41"/>
      <c r="H12" s="17"/>
      <c r="I12" s="199" t="s">
        <v>466</v>
      </c>
      <c r="J12" s="199"/>
      <c r="K12" s="54"/>
      <c r="L12" s="28">
        <f>L1</f>
        <v>2016</v>
      </c>
    </row>
    <row r="13" spans="1:12" ht="18" customHeight="1">
      <c r="A13" s="55" t="s">
        <v>16</v>
      </c>
      <c r="B13" s="56"/>
      <c r="C13" s="41"/>
      <c r="D13" s="41"/>
      <c r="E13" s="41"/>
      <c r="F13" s="41"/>
      <c r="G13" s="41"/>
      <c r="H13" s="17"/>
      <c r="I13" s="57" t="s">
        <v>17</v>
      </c>
      <c r="J13" s="58"/>
      <c r="K13" s="59"/>
      <c r="L13" s="58"/>
    </row>
    <row r="14" spans="1:12" s="32" customFormat="1" ht="18" customHeight="1">
      <c r="A14" s="31" t="s">
        <v>49</v>
      </c>
      <c r="B14" s="36">
        <f aca="true" t="shared" si="0" ref="B14:B45">SUM(C14:G14)</f>
        <v>134765050.51</v>
      </c>
      <c r="C14" s="42">
        <f>'[1]2110'!$L$10</f>
        <v>66070469.61</v>
      </c>
      <c r="D14" s="42">
        <f>'[2]2110'!$L$10</f>
        <v>0</v>
      </c>
      <c r="E14" s="42">
        <f>'[3]2110'!$L$10</f>
        <v>31753472.87</v>
      </c>
      <c r="F14" s="42">
        <f>'[4]2110'!$L$10</f>
        <v>17365753.41</v>
      </c>
      <c r="G14" s="42">
        <f>'[5]2110'!$L$10</f>
        <v>19575354.619999997</v>
      </c>
      <c r="H14" s="31"/>
      <c r="I14" s="31"/>
      <c r="J14" s="17"/>
      <c r="K14" s="61"/>
      <c r="L14" s="17"/>
    </row>
    <row r="15" spans="1:12" s="32" customFormat="1" ht="18" customHeight="1">
      <c r="A15" s="62" t="s">
        <v>148</v>
      </c>
      <c r="B15" s="36">
        <f t="shared" si="0"/>
        <v>0</v>
      </c>
      <c r="C15" s="42"/>
      <c r="D15" s="42"/>
      <c r="E15" s="42"/>
      <c r="F15" s="42"/>
      <c r="G15" s="42"/>
      <c r="H15" s="31"/>
      <c r="I15" s="31" t="s">
        <v>18</v>
      </c>
      <c r="L15" s="63">
        <f>IF(Balance!K42=0,"--",Balance!B62/Balance!K42)</f>
        <v>0.38431186407371837</v>
      </c>
    </row>
    <row r="16" spans="1:12" s="32" customFormat="1" ht="18" customHeight="1">
      <c r="A16" s="62" t="s">
        <v>149</v>
      </c>
      <c r="B16" s="36">
        <f t="shared" si="0"/>
        <v>0</v>
      </c>
      <c r="C16" s="42"/>
      <c r="D16" s="42"/>
      <c r="E16" s="42"/>
      <c r="F16" s="42"/>
      <c r="G16" s="42"/>
      <c r="H16" s="31"/>
      <c r="I16" s="31" t="s">
        <v>19</v>
      </c>
      <c r="L16" s="63">
        <f>(Memoria!C41+Memoria!C54)/Balance!K42</f>
        <v>1.0453487515513817</v>
      </c>
    </row>
    <row r="17" spans="1:12" s="32" customFormat="1" ht="18" customHeight="1">
      <c r="A17" s="62" t="s">
        <v>150</v>
      </c>
      <c r="B17" s="36">
        <f t="shared" si="0"/>
        <v>0</v>
      </c>
      <c r="C17" s="42"/>
      <c r="D17" s="42"/>
      <c r="E17" s="42"/>
      <c r="F17" s="42"/>
      <c r="G17" s="42"/>
      <c r="H17" s="31"/>
      <c r="I17" s="31" t="s">
        <v>20</v>
      </c>
      <c r="L17" s="63">
        <f>IF(Balance!K42=0,"--",Balance!B42/Balance!K42)</f>
        <v>1.4412033918645961</v>
      </c>
    </row>
    <row r="18" spans="1:12" s="32" customFormat="1" ht="18" customHeight="1">
      <c r="A18" s="62" t="s">
        <v>151</v>
      </c>
      <c r="B18" s="36">
        <f t="shared" si="0"/>
        <v>0</v>
      </c>
      <c r="C18" s="42"/>
      <c r="D18" s="42"/>
      <c r="E18" s="42"/>
      <c r="F18" s="42"/>
      <c r="G18" s="42"/>
      <c r="H18" s="31"/>
      <c r="I18" s="31" t="s">
        <v>21</v>
      </c>
      <c r="L18" s="64">
        <f>Balance!B42-Balance!K42</f>
        <v>182175733.89999998</v>
      </c>
    </row>
    <row r="19" spans="1:12" s="32" customFormat="1" ht="18" customHeight="1">
      <c r="A19" s="62" t="s">
        <v>152</v>
      </c>
      <c r="B19" s="36">
        <f t="shared" si="0"/>
        <v>0</v>
      </c>
      <c r="C19" s="42"/>
      <c r="D19" s="42"/>
      <c r="E19" s="42"/>
      <c r="F19" s="42"/>
      <c r="G19" s="42"/>
      <c r="H19" s="31"/>
      <c r="I19" s="31" t="s">
        <v>22</v>
      </c>
      <c r="L19" s="65" t="str">
        <f>INT(Balance!B50/(B42+B61+B72+B73)*365)&amp;"  días"</f>
        <v>134  días</v>
      </c>
    </row>
    <row r="20" spans="1:12" s="32" customFormat="1" ht="18" customHeight="1">
      <c r="A20" s="62" t="s">
        <v>153</v>
      </c>
      <c r="B20" s="36">
        <f t="shared" si="0"/>
        <v>0</v>
      </c>
      <c r="C20" s="42"/>
      <c r="D20" s="42"/>
      <c r="E20" s="42"/>
      <c r="F20" s="42"/>
      <c r="G20" s="42"/>
      <c r="H20" s="31"/>
      <c r="I20" s="31" t="s">
        <v>23</v>
      </c>
      <c r="L20" s="65" t="str">
        <f>INT(Balance!K51/-(B59+B66+B74+B75)*365)&amp;"  días"</f>
        <v>32  días</v>
      </c>
    </row>
    <row r="21" spans="1:12" s="32" customFormat="1" ht="18" customHeight="1">
      <c r="A21" s="62" t="s">
        <v>154</v>
      </c>
      <c r="B21" s="36">
        <f t="shared" si="0"/>
        <v>0</v>
      </c>
      <c r="C21" s="42"/>
      <c r="D21" s="42"/>
      <c r="E21" s="42"/>
      <c r="F21" s="42"/>
      <c r="G21" s="42"/>
      <c r="H21" s="31"/>
      <c r="I21" s="31" t="s">
        <v>24</v>
      </c>
      <c r="L21" s="65" t="str">
        <f>INT((Balance!K51+Balance!K58)/-(B43+B46+B47+B52+B54)*365)&amp;"  días"</f>
        <v>119  días</v>
      </c>
    </row>
    <row r="22" spans="1:9" s="32" customFormat="1" ht="18" customHeight="1">
      <c r="A22" s="62" t="s">
        <v>155</v>
      </c>
      <c r="B22" s="36">
        <f t="shared" si="0"/>
        <v>0</v>
      </c>
      <c r="C22" s="42"/>
      <c r="D22" s="42"/>
      <c r="E22" s="42"/>
      <c r="F22" s="42"/>
      <c r="G22" s="42"/>
      <c r="H22" s="31"/>
      <c r="I22" s="31"/>
    </row>
    <row r="23" spans="1:12" s="32" customFormat="1" ht="18" customHeight="1">
      <c r="A23" s="62" t="s">
        <v>156</v>
      </c>
      <c r="B23" s="36">
        <f t="shared" si="0"/>
        <v>0</v>
      </c>
      <c r="C23" s="42"/>
      <c r="D23" s="42"/>
      <c r="E23" s="42"/>
      <c r="F23" s="42"/>
      <c r="G23" s="42"/>
      <c r="H23" s="31"/>
      <c r="I23" s="57" t="s">
        <v>25</v>
      </c>
      <c r="J23" s="57"/>
      <c r="K23" s="57"/>
      <c r="L23" s="57"/>
    </row>
    <row r="24" spans="1:12" s="32" customFormat="1" ht="18" customHeight="1">
      <c r="A24" s="62" t="s">
        <v>157</v>
      </c>
      <c r="B24" s="36">
        <f t="shared" si="0"/>
        <v>0</v>
      </c>
      <c r="C24" s="42"/>
      <c r="D24" s="42"/>
      <c r="E24" s="42"/>
      <c r="F24" s="42"/>
      <c r="G24" s="42"/>
      <c r="H24" s="31"/>
      <c r="I24" s="31"/>
      <c r="J24" s="31"/>
      <c r="K24" s="31"/>
      <c r="L24" s="31"/>
    </row>
    <row r="25" spans="1:12" s="32" customFormat="1" ht="18" customHeight="1">
      <c r="A25" s="62" t="s">
        <v>158</v>
      </c>
      <c r="B25" s="36">
        <f t="shared" si="0"/>
        <v>0</v>
      </c>
      <c r="C25" s="42"/>
      <c r="D25" s="42"/>
      <c r="E25" s="42"/>
      <c r="F25" s="42"/>
      <c r="G25" s="42"/>
      <c r="H25" s="31"/>
      <c r="I25" s="31" t="s">
        <v>26</v>
      </c>
      <c r="L25" s="64">
        <f>(Balance!K28+Balance!K42)/L5</f>
        <v>130.7159773813057</v>
      </c>
    </row>
    <row r="26" spans="1:12" s="32" customFormat="1" ht="18" customHeight="1">
      <c r="A26" s="62" t="s">
        <v>159</v>
      </c>
      <c r="B26" s="36">
        <f t="shared" si="0"/>
        <v>0</v>
      </c>
      <c r="C26" s="42"/>
      <c r="D26" s="42"/>
      <c r="E26" s="42"/>
      <c r="F26" s="42"/>
      <c r="G26" s="42"/>
      <c r="H26" s="31"/>
      <c r="I26" s="31" t="s">
        <v>27</v>
      </c>
      <c r="L26" s="63">
        <f>(Balance!K28+Balance!K42)/Balance!K64</f>
        <v>0.22357348124730156</v>
      </c>
    </row>
    <row r="27" spans="1:12" s="32" customFormat="1" ht="18" customHeight="1">
      <c r="A27" s="62" t="s">
        <v>160</v>
      </c>
      <c r="B27" s="36">
        <f t="shared" si="0"/>
        <v>0</v>
      </c>
      <c r="C27" s="42"/>
      <c r="D27" s="42"/>
      <c r="E27" s="42"/>
      <c r="F27" s="42"/>
      <c r="G27" s="42"/>
      <c r="H27" s="66"/>
      <c r="I27" s="31" t="s">
        <v>28</v>
      </c>
      <c r="L27" s="63">
        <f>IF(Balance!K28=0,"  --",Balance!K42/Balance!K28)</f>
        <v>1.7537607003064186</v>
      </c>
    </row>
    <row r="28" spans="1:12" s="32" customFormat="1" ht="18" customHeight="1">
      <c r="A28" s="62" t="s">
        <v>161</v>
      </c>
      <c r="B28" s="36">
        <f t="shared" si="0"/>
        <v>0</v>
      </c>
      <c r="C28" s="42"/>
      <c r="D28" s="42"/>
      <c r="E28" s="42"/>
      <c r="F28" s="42"/>
      <c r="G28" s="42"/>
      <c r="H28" s="66"/>
      <c r="I28" s="31" t="s">
        <v>468</v>
      </c>
      <c r="L28" s="63">
        <f>Balance!B13/Balance!K13</f>
        <v>1.087011941585072</v>
      </c>
    </row>
    <row r="29" spans="1:12" s="32" customFormat="1" ht="18" customHeight="1">
      <c r="A29" s="62" t="s">
        <v>494</v>
      </c>
      <c r="B29" s="36">
        <f t="shared" si="0"/>
        <v>134765050.51</v>
      </c>
      <c r="C29" s="42">
        <f>'[1]2110'!$L$10</f>
        <v>66070469.61</v>
      </c>
      <c r="D29" s="42">
        <f>'[2]2110'!$L$10</f>
        <v>0</v>
      </c>
      <c r="E29" s="42">
        <f>'[3]2110'!$L$10</f>
        <v>31753472.87</v>
      </c>
      <c r="F29" s="42">
        <f>'[4]2110'!$L$10</f>
        <v>17365753.41</v>
      </c>
      <c r="G29" s="42">
        <f>'[5]2110'!$L$10</f>
        <v>19575354.619999997</v>
      </c>
      <c r="H29" s="66"/>
      <c r="I29" s="32" t="s">
        <v>469</v>
      </c>
      <c r="L29" s="63">
        <f>Balance!B64/(Balance!K42+Balance!K28)</f>
        <v>4.472802384348388</v>
      </c>
    </row>
    <row r="30" spans="1:12" s="32" customFormat="1" ht="18" customHeight="1">
      <c r="A30" s="31" t="s">
        <v>50</v>
      </c>
      <c r="B30" s="36">
        <f t="shared" si="0"/>
        <v>835751146.4200001</v>
      </c>
      <c r="C30" s="42">
        <f>SUM(C31:C34)</f>
        <v>283849892.86</v>
      </c>
      <c r="D30" s="42">
        <f>SUM(D31:D34)</f>
        <v>239348482.59</v>
      </c>
      <c r="E30" s="42">
        <f>SUM(E31:E34)</f>
        <v>152093448.75</v>
      </c>
      <c r="F30" s="42">
        <f>SUM(F31:F34)</f>
        <v>81490489.23</v>
      </c>
      <c r="G30" s="42">
        <f>SUM(G31:G34)</f>
        <v>78968832.99</v>
      </c>
      <c r="H30" s="66"/>
      <c r="I30" s="31" t="s">
        <v>470</v>
      </c>
      <c r="L30" s="63">
        <f>IF(Balance!K34=0,"   --",Balance!B28/Balance!K34)</f>
        <v>13.852183733567555</v>
      </c>
    </row>
    <row r="31" spans="1:12" s="32" customFormat="1" ht="18" customHeight="1">
      <c r="A31" s="62" t="s">
        <v>51</v>
      </c>
      <c r="B31" s="36">
        <f t="shared" si="0"/>
        <v>562542816.96</v>
      </c>
      <c r="C31" s="42">
        <f>('[1]2110'!$L$23)</f>
        <v>228027840</v>
      </c>
      <c r="D31" s="42">
        <f>('[2]2110'!$L$23)</f>
        <v>214647625.84</v>
      </c>
      <c r="E31" s="42">
        <f>('[3]2110'!$L$23)</f>
        <v>0</v>
      </c>
      <c r="F31" s="42">
        <f>('[4]2110'!$L$23)</f>
        <v>61300439.64</v>
      </c>
      <c r="G31" s="42">
        <f>('[5]2110'!$L$23)</f>
        <v>58566911.48</v>
      </c>
      <c r="H31" s="66"/>
      <c r="I31" s="32" t="s">
        <v>471</v>
      </c>
      <c r="L31" s="63">
        <f>(B82-B53-B58-B66+B61-B75)/Balance!B64</f>
        <v>0.03711367492181224</v>
      </c>
    </row>
    <row r="32" spans="1:12" s="32" customFormat="1" ht="18" customHeight="1">
      <c r="A32" s="62" t="s">
        <v>52</v>
      </c>
      <c r="B32" s="36">
        <f t="shared" si="0"/>
        <v>168550884.49</v>
      </c>
      <c r="C32" s="42">
        <f>('[1]2110'!$L$24)</f>
        <v>19618115.23</v>
      </c>
      <c r="D32" s="42">
        <f>('[2]2110'!$L$24)</f>
        <v>0</v>
      </c>
      <c r="E32" s="42">
        <f>('[3]2110'!$L$24)</f>
        <v>130852740.4</v>
      </c>
      <c r="F32" s="42">
        <f>('[4]2110'!$L$24)</f>
        <v>12640063.53</v>
      </c>
      <c r="G32" s="42">
        <f>('[5]2110'!$L$24)</f>
        <v>5439965.33</v>
      </c>
      <c r="H32" s="66"/>
      <c r="I32" s="32" t="s">
        <v>472</v>
      </c>
      <c r="L32" s="63">
        <f>(Balance!B13+Balance!B41)/(Balance!K13+Balance!K26+Balance!K27+Balance!K28)</f>
        <v>0.927011660225422</v>
      </c>
    </row>
    <row r="33" spans="1:12" s="32" customFormat="1" ht="18" customHeight="1">
      <c r="A33" s="62" t="s">
        <v>53</v>
      </c>
      <c r="B33" s="36">
        <f t="shared" si="0"/>
        <v>27559235.25</v>
      </c>
      <c r="C33" s="42">
        <f>('[1]2110'!$L$25)</f>
        <v>0</v>
      </c>
      <c r="D33" s="42">
        <f>('[2]2110'!$L$25)</f>
        <v>24697856.75</v>
      </c>
      <c r="E33" s="42">
        <f>('[3]2110'!$L$25)</f>
        <v>0</v>
      </c>
      <c r="F33" s="42">
        <f>('[4]2110'!$L$25)</f>
        <v>0</v>
      </c>
      <c r="G33" s="42">
        <f>('[5]2110'!$L$25)</f>
        <v>2861378.5</v>
      </c>
      <c r="H33" s="66"/>
      <c r="I33" s="32" t="s">
        <v>473</v>
      </c>
      <c r="L33" s="63">
        <f>Balance!K13/(Balance!K26+Balance!K27+Balance!K28+Balance!K42)</f>
        <v>2.7175282036641466</v>
      </c>
    </row>
    <row r="34" spans="1:12" s="32" customFormat="1" ht="18" customHeight="1">
      <c r="A34" s="62" t="s">
        <v>54</v>
      </c>
      <c r="B34" s="36">
        <f t="shared" si="0"/>
        <v>77098209.72</v>
      </c>
      <c r="C34" s="42">
        <f>('[1]2110'!$L$26)</f>
        <v>36203937.63</v>
      </c>
      <c r="D34" s="42">
        <f>('[2]2110'!$L$26)</f>
        <v>3000</v>
      </c>
      <c r="E34" s="42">
        <f>('[3]2110'!$L$26)</f>
        <v>21240708.35</v>
      </c>
      <c r="F34" s="42">
        <f>('[4]2110'!$L$26)</f>
        <v>7549986.06</v>
      </c>
      <c r="G34" s="42">
        <f>('[5]2110'!$L$26)</f>
        <v>12100577.68</v>
      </c>
      <c r="H34" s="66"/>
      <c r="I34" s="32" t="s">
        <v>474</v>
      </c>
      <c r="L34" s="63">
        <f>IF((Balance!K28)=0,"   --",(Balance!K42)/(Balance!K28+Balance!K42))</f>
        <v>0.6368602399298068</v>
      </c>
    </row>
    <row r="35" spans="1:8" s="32" customFormat="1" ht="18" customHeight="1">
      <c r="A35" s="31" t="s">
        <v>162</v>
      </c>
      <c r="B35" s="36">
        <f t="shared" si="0"/>
        <v>81599831.55000001</v>
      </c>
      <c r="C35" s="42">
        <f>'[1]2110'!$L$4</f>
        <v>16226041.05</v>
      </c>
      <c r="D35" s="42">
        <f>'[2]2110'!$L$4</f>
        <v>58014708.78</v>
      </c>
      <c r="E35" s="42">
        <f>'[3]2110'!$L$4</f>
        <v>331723.56</v>
      </c>
      <c r="F35" s="42">
        <f>'[4]2110'!$L$4</f>
        <v>5784362.15</v>
      </c>
      <c r="G35" s="42">
        <f>'[5]2110'!$L$4</f>
        <v>1242996.01</v>
      </c>
      <c r="H35" s="66"/>
    </row>
    <row r="36" spans="1:8" s="32" customFormat="1" ht="18" customHeight="1">
      <c r="A36" s="31" t="s">
        <v>163</v>
      </c>
      <c r="B36" s="36">
        <f t="shared" si="0"/>
        <v>0</v>
      </c>
      <c r="C36" s="42">
        <f>'[1]2110'!$L$8-'[1]2110'!$D$4</f>
        <v>0</v>
      </c>
      <c r="D36" s="42">
        <f>'[2]2110'!$L$8-'[2]2110'!$D$4</f>
        <v>0</v>
      </c>
      <c r="E36" s="42">
        <f>'[3]2110'!$L$8-'[3]2110'!$D$4</f>
        <v>0</v>
      </c>
      <c r="F36" s="42">
        <f>'[4]2110'!$L$8-'[4]2110'!$D$4</f>
        <v>0</v>
      </c>
      <c r="G36" s="42">
        <f>'[5]2110'!$L$8-'[5]2110'!$D$4</f>
        <v>0</v>
      </c>
      <c r="H36" s="66"/>
    </row>
    <row r="37" spans="1:12" s="32" customFormat="1" ht="18" customHeight="1">
      <c r="A37" s="31" t="s">
        <v>164</v>
      </c>
      <c r="B37" s="36">
        <f t="shared" si="0"/>
        <v>97570.83</v>
      </c>
      <c r="C37" s="42">
        <f>'[1]2110'!$L$12</f>
        <v>0</v>
      </c>
      <c r="D37" s="42">
        <f>'[2]2110'!$L$12</f>
        <v>0</v>
      </c>
      <c r="E37" s="42">
        <f>'[3]2110'!$L$12</f>
        <v>0</v>
      </c>
      <c r="F37" s="42">
        <f>'[4]2110'!$L$12</f>
        <v>66912.74</v>
      </c>
      <c r="G37" s="42">
        <f>'[5]2110'!$L$12</f>
        <v>30658.09</v>
      </c>
      <c r="H37" s="66"/>
      <c r="I37" s="57" t="s">
        <v>485</v>
      </c>
      <c r="J37" s="57"/>
      <c r="K37" s="57"/>
      <c r="L37" s="57"/>
    </row>
    <row r="38" spans="1:12" s="32" customFormat="1" ht="18" customHeight="1">
      <c r="A38" s="31" t="s">
        <v>165</v>
      </c>
      <c r="B38" s="36">
        <f t="shared" si="0"/>
        <v>11914157.83</v>
      </c>
      <c r="C38" s="42">
        <f>'[1]2110'!$L$13</f>
        <v>2432763.3600000003</v>
      </c>
      <c r="D38" s="42">
        <f>'[2]2110'!$L$13</f>
        <v>6383631.5</v>
      </c>
      <c r="E38" s="42">
        <f>'[3]2110'!$L$13</f>
        <v>1724004.06</v>
      </c>
      <c r="F38" s="42">
        <f>'[4]2110'!$L$13</f>
        <v>346703.91</v>
      </c>
      <c r="G38" s="42">
        <f>'[5]2110'!$L$13</f>
        <v>1027055</v>
      </c>
      <c r="H38" s="66"/>
      <c r="I38" s="31"/>
      <c r="J38" s="31"/>
      <c r="K38" s="31"/>
      <c r="L38" s="31"/>
    </row>
    <row r="39" spans="1:12" s="32" customFormat="1" ht="18" customHeight="1">
      <c r="A39" s="62" t="s">
        <v>55</v>
      </c>
      <c r="B39" s="36">
        <f t="shared" si="0"/>
        <v>7813387.850000001</v>
      </c>
      <c r="C39" s="42">
        <f>'[1]2110'!$L$14</f>
        <v>1852357.81</v>
      </c>
      <c r="D39" s="42">
        <f>'[2]2110'!$L$14</f>
        <v>3156449.56</v>
      </c>
      <c r="E39" s="42">
        <f>'[3]2110'!$L$14</f>
        <v>1430821.57</v>
      </c>
      <c r="F39" s="42">
        <f>'[4]2110'!$L$14</f>
        <v>346703.91</v>
      </c>
      <c r="G39" s="42">
        <f>'[5]2110'!$L$14</f>
        <v>1027055</v>
      </c>
      <c r="H39" s="31"/>
      <c r="I39" s="31" t="s">
        <v>29</v>
      </c>
      <c r="L39" s="63">
        <f>IF(Balance!K13&lt;0,B82/ABS(Balance!K13),B82/Balance!K13)</f>
        <v>-0.007195730749642725</v>
      </c>
    </row>
    <row r="40" spans="1:12" s="32" customFormat="1" ht="18" customHeight="1">
      <c r="A40" s="62" t="s">
        <v>56</v>
      </c>
      <c r="B40" s="36">
        <f t="shared" si="0"/>
        <v>4100769.9800000004</v>
      </c>
      <c r="C40" s="42">
        <f>'[1]2110'!$L$15</f>
        <v>580405.55</v>
      </c>
      <c r="D40" s="42">
        <f>'[2]2110'!$L$15</f>
        <v>3227181.94</v>
      </c>
      <c r="E40" s="42">
        <f>'[3]2110'!$L$15</f>
        <v>293182.49</v>
      </c>
      <c r="F40" s="42">
        <f>'[4]2110'!$L$15</f>
        <v>0</v>
      </c>
      <c r="G40" s="42">
        <f>'[5]2110'!$L$15</f>
        <v>0</v>
      </c>
      <c r="H40" s="31"/>
      <c r="I40" s="32" t="s">
        <v>475</v>
      </c>
      <c r="L40" s="63">
        <f>B14/B42</f>
        <v>0.1262465360044349</v>
      </c>
    </row>
    <row r="41" spans="1:12" s="32" customFormat="1" ht="18" customHeight="1">
      <c r="A41" s="31" t="s">
        <v>166</v>
      </c>
      <c r="B41" s="36">
        <f t="shared" si="0"/>
        <v>3347476.44</v>
      </c>
      <c r="C41" s="42">
        <f>'[1]2110'!$L$11</f>
        <v>1293499.04</v>
      </c>
      <c r="D41" s="42">
        <f>'[2]2110'!$L$11</f>
        <v>952901.43</v>
      </c>
      <c r="E41" s="42">
        <f>'[3]2110'!$L$11</f>
        <v>670586.77</v>
      </c>
      <c r="F41" s="42">
        <f>'[4]2110'!$L$11</f>
        <v>406810.61</v>
      </c>
      <c r="G41" s="42">
        <f>'[5]2110'!$L$11</f>
        <v>23678.59</v>
      </c>
      <c r="H41" s="31"/>
      <c r="I41" s="32" t="s">
        <v>476</v>
      </c>
      <c r="L41" s="63">
        <f>B30/B42</f>
        <v>0.7829232193211031</v>
      </c>
    </row>
    <row r="42" spans="1:12" s="32" customFormat="1" ht="18" customHeight="1">
      <c r="A42" s="209" t="s">
        <v>167</v>
      </c>
      <c r="B42" s="207">
        <f t="shared" si="0"/>
        <v>1067475233.5799999</v>
      </c>
      <c r="C42" s="42">
        <f>C14+C30+SUM(C35:C38)+C41</f>
        <v>369872665.9200001</v>
      </c>
      <c r="D42" s="42">
        <f>D14+D30+SUM(D35:D38)+D41</f>
        <v>304699724.3</v>
      </c>
      <c r="E42" s="42">
        <f>E14+E30+SUM(E35:E38)+E41</f>
        <v>186573236.01000002</v>
      </c>
      <c r="F42" s="42">
        <f>F14+F30+SUM(F35:F38)+F41</f>
        <v>105461032.05</v>
      </c>
      <c r="G42" s="42">
        <f>G14+G30+SUM(G35:G38)+G41</f>
        <v>100868575.29999998</v>
      </c>
      <c r="H42" s="31"/>
      <c r="I42" s="31" t="s">
        <v>477</v>
      </c>
      <c r="L42" s="63">
        <f>B35/B42</f>
        <v>0.0764418967139294</v>
      </c>
    </row>
    <row r="43" spans="1:12" s="32" customFormat="1" ht="18" customHeight="1">
      <c r="A43" s="31" t="s">
        <v>170</v>
      </c>
      <c r="B43" s="36">
        <f t="shared" si="0"/>
        <v>-701979243.74</v>
      </c>
      <c r="C43" s="42">
        <f>-'[1]2110'!$D$10</f>
        <v>-242327190.1</v>
      </c>
      <c r="D43" s="42">
        <f>-'[2]2110'!$D$10</f>
        <v>-207019810.5</v>
      </c>
      <c r="E43" s="42">
        <f>-'[3]2110'!$D$10</f>
        <v>-128188074.86</v>
      </c>
      <c r="F43" s="42">
        <f>-'[4]2110'!$D$10</f>
        <v>-65830479.97</v>
      </c>
      <c r="G43" s="42">
        <f>-'[5]2110'!$D$10</f>
        <v>-58613688.309999995</v>
      </c>
      <c r="H43" s="31"/>
      <c r="I43" s="31" t="s">
        <v>478</v>
      </c>
      <c r="L43" s="63">
        <f>(B36+B37+B38+B41)/B42</f>
        <v>0.014388347960532738</v>
      </c>
    </row>
    <row r="44" spans="1:12" s="32" customFormat="1" ht="18" customHeight="1">
      <c r="A44" s="62" t="s">
        <v>168</v>
      </c>
      <c r="B44" s="36">
        <f t="shared" si="0"/>
        <v>-612056844.2</v>
      </c>
      <c r="C44" s="42">
        <f>-'[1]2110'!$D$11</f>
        <v>-212389867.73</v>
      </c>
      <c r="D44" s="42">
        <f>-'[2]2110'!$D$11</f>
        <v>-180601630</v>
      </c>
      <c r="E44" s="42">
        <f>-'[3]2110'!$D$11</f>
        <v>-111910383.33</v>
      </c>
      <c r="F44" s="42">
        <f>-'[4]2110'!$D$11</f>
        <v>-56760414.02</v>
      </c>
      <c r="G44" s="42">
        <f>-'[5]2110'!$D$11</f>
        <v>-50394549.12</v>
      </c>
      <c r="H44" s="31"/>
      <c r="I44" s="32" t="s">
        <v>479</v>
      </c>
      <c r="L44" s="63">
        <f>B43/B59</f>
        <v>0.678457749437943</v>
      </c>
    </row>
    <row r="45" spans="1:12" s="32" customFormat="1" ht="18" customHeight="1">
      <c r="A45" s="62" t="s">
        <v>169</v>
      </c>
      <c r="B45" s="36">
        <f t="shared" si="0"/>
        <v>-89922399.54</v>
      </c>
      <c r="C45" s="42">
        <f>-'[1]2110'!$D$12</f>
        <v>-29937322.37</v>
      </c>
      <c r="D45" s="42">
        <f>-'[2]2110'!$D$12</f>
        <v>-26418180.5</v>
      </c>
      <c r="E45" s="42">
        <f>-'[3]2110'!$D$12</f>
        <v>-16277691.53</v>
      </c>
      <c r="F45" s="42">
        <f>-'[4]2110'!$D$12</f>
        <v>-9070065.95</v>
      </c>
      <c r="G45" s="42">
        <f>-'[5]2110'!$D$12</f>
        <v>-8219139.19</v>
      </c>
      <c r="H45" s="31"/>
      <c r="I45" s="32" t="s">
        <v>480</v>
      </c>
      <c r="L45" s="63">
        <f>B47/B59</f>
        <v>0.028906980653241595</v>
      </c>
    </row>
    <row r="46" spans="1:12" s="32" customFormat="1" ht="18" customHeight="1">
      <c r="A46" s="31" t="s">
        <v>171</v>
      </c>
      <c r="B46" s="36">
        <f aca="true" t="shared" si="1" ref="B46:B77">SUM(C46:G46)</f>
        <v>-2477622.3400000003</v>
      </c>
      <c r="C46" s="42">
        <f>-'[1]2110'!$D$13</f>
        <v>-53798.37</v>
      </c>
      <c r="D46" s="42">
        <f>-'[2]2110'!$D$13</f>
        <v>-2423823.97</v>
      </c>
      <c r="E46" s="42">
        <f>-'[3]2110'!$D$13</f>
        <v>0</v>
      </c>
      <c r="F46" s="42">
        <f>-'[4]2110'!$D$13</f>
        <v>0</v>
      </c>
      <c r="G46" s="42">
        <f>-'[5]2110'!$D$13</f>
        <v>0</v>
      </c>
      <c r="H46" s="31"/>
      <c r="I46" s="32" t="s">
        <v>481</v>
      </c>
      <c r="L46" s="63">
        <f>B54/B59</f>
        <v>0.20926080407811515</v>
      </c>
    </row>
    <row r="47" spans="1:12" s="32" customFormat="1" ht="18" customHeight="1">
      <c r="A47" s="31" t="s">
        <v>172</v>
      </c>
      <c r="B47" s="36">
        <f t="shared" si="1"/>
        <v>-29909158.580000002</v>
      </c>
      <c r="C47" s="42">
        <f>SUM(C48:C51)</f>
        <v>-10956741.180000002</v>
      </c>
      <c r="D47" s="42">
        <f>SUM(D48:D51)</f>
        <v>-9901400.41</v>
      </c>
      <c r="E47" s="42">
        <f>SUM(E48:E51)</f>
        <v>-5745260.75</v>
      </c>
      <c r="F47" s="42">
        <f>SUM(F48:F51)</f>
        <v>-2238241.61</v>
      </c>
      <c r="G47" s="42">
        <f>SUM(G48:G51)</f>
        <v>-1067514.6300000001</v>
      </c>
      <c r="H47" s="31"/>
      <c r="I47" s="32" t="s">
        <v>482</v>
      </c>
      <c r="L47" s="63" t="str">
        <f>IF(B52&lt;0,B52/B59,"No aplica")</f>
        <v>No aplica</v>
      </c>
    </row>
    <row r="48" spans="1:12" s="32" customFormat="1" ht="18" customHeight="1" thickBot="1">
      <c r="A48" s="62" t="s">
        <v>51</v>
      </c>
      <c r="B48" s="36">
        <f t="shared" si="1"/>
        <v>-19207708.97</v>
      </c>
      <c r="C48" s="42">
        <f>-('[1]2110'!$D$28)</f>
        <v>-396387.55</v>
      </c>
      <c r="D48" s="42">
        <f>-('[2]2110'!$D$28)</f>
        <v>-9895770.5</v>
      </c>
      <c r="E48" s="42">
        <f>-('[3]2110'!$D$28)</f>
        <v>-5719825</v>
      </c>
      <c r="F48" s="42">
        <f>-('[4]2110'!$D$28)</f>
        <v>-2228076.27</v>
      </c>
      <c r="G48" s="42">
        <f>-('[5]2110'!$D$28)</f>
        <v>-967649.65</v>
      </c>
      <c r="H48" s="31"/>
      <c r="I48" s="67" t="s">
        <v>483</v>
      </c>
      <c r="J48" s="67"/>
      <c r="K48" s="67"/>
      <c r="L48" s="68">
        <f>(B46+B53+B58)/B59</f>
        <v>0.08337446583070023</v>
      </c>
    </row>
    <row r="49" spans="1:9" s="32" customFormat="1" ht="18" customHeight="1">
      <c r="A49" s="62" t="s">
        <v>52</v>
      </c>
      <c r="B49" s="36">
        <f t="shared" si="1"/>
        <v>-8162187.33</v>
      </c>
      <c r="C49" s="42">
        <f>-('[1]2110'!$D$29)</f>
        <v>-8119087.33</v>
      </c>
      <c r="D49" s="42">
        <f>-('[2]2110'!$D$29)</f>
        <v>0</v>
      </c>
      <c r="E49" s="42">
        <f>-('[3]2110'!$D$29)</f>
        <v>0</v>
      </c>
      <c r="F49" s="42">
        <f>-('[4]2110'!$D$29)</f>
        <v>0</v>
      </c>
      <c r="G49" s="42">
        <f>-('[5]2110'!$D$29)</f>
        <v>-43100</v>
      </c>
      <c r="H49" s="31"/>
      <c r="I49" s="31"/>
    </row>
    <row r="50" spans="1:9" s="32" customFormat="1" ht="18" customHeight="1">
      <c r="A50" s="62" t="s">
        <v>53</v>
      </c>
      <c r="B50" s="36">
        <f t="shared" si="1"/>
        <v>-1995623.37</v>
      </c>
      <c r="C50" s="42">
        <f>-('[1]2110'!$D$30)</f>
        <v>-1907057.3</v>
      </c>
      <c r="D50" s="42">
        <f>-('[2]2110'!$D$30)</f>
        <v>0</v>
      </c>
      <c r="E50" s="42">
        <f>-('[3]2110'!$D$30)</f>
        <v>-25435.75</v>
      </c>
      <c r="F50" s="42">
        <f>-('[4]2110'!$D$30)</f>
        <v>-10165.34</v>
      </c>
      <c r="G50" s="42">
        <f>-('[5]2110'!$D$30)</f>
        <v>-52964.98</v>
      </c>
      <c r="H50" s="31"/>
      <c r="I50" s="32" t="s">
        <v>30</v>
      </c>
    </row>
    <row r="51" spans="1:9" s="32" customFormat="1" ht="18" customHeight="1">
      <c r="A51" s="62" t="s">
        <v>54</v>
      </c>
      <c r="B51" s="36">
        <f t="shared" si="1"/>
        <v>-543638.91</v>
      </c>
      <c r="C51" s="42">
        <f>-('[1]2110'!$D$31)</f>
        <v>-534209</v>
      </c>
      <c r="D51" s="42">
        <f>-('[2]2110'!$D$31)</f>
        <v>-5629.91</v>
      </c>
      <c r="E51" s="42">
        <f>-('[3]2110'!$D$31)</f>
        <v>0</v>
      </c>
      <c r="F51" s="42">
        <f>-('[4]2110'!$D$31)</f>
        <v>0</v>
      </c>
      <c r="G51" s="42">
        <f>-('[5]2110'!$D$31)</f>
        <v>-3800</v>
      </c>
      <c r="H51" s="31"/>
      <c r="I51" s="32" t="s">
        <v>31</v>
      </c>
    </row>
    <row r="52" spans="1:9" s="32" customFormat="1" ht="18" customHeight="1">
      <c r="A52" s="31" t="s">
        <v>173</v>
      </c>
      <c r="B52" s="36">
        <f t="shared" si="1"/>
        <v>0</v>
      </c>
      <c r="C52" s="42">
        <f>-'[1]2110'!$D$5</f>
        <v>0</v>
      </c>
      <c r="D52" s="42">
        <f>-'[2]2110'!$D$5</f>
        <v>0</v>
      </c>
      <c r="E52" s="42">
        <f>-'[3]2110'!$D$5</f>
        <v>0</v>
      </c>
      <c r="F52" s="42">
        <f>-'[4]2110'!$D$5</f>
        <v>0</v>
      </c>
      <c r="G52" s="42">
        <f>-'[5]2110'!$D$5</f>
        <v>0</v>
      </c>
      <c r="H52" s="31"/>
      <c r="I52" s="31"/>
    </row>
    <row r="53" spans="1:9" s="32" customFormat="1" ht="18" customHeight="1">
      <c r="A53" s="31" t="s">
        <v>174</v>
      </c>
      <c r="B53" s="36">
        <f t="shared" si="1"/>
        <v>-526273.5700000001</v>
      </c>
      <c r="C53" s="42">
        <f>-'[1]2110'!$D$15</f>
        <v>0</v>
      </c>
      <c r="D53" s="42">
        <f>-'[2]2110'!$D$15</f>
        <v>-113431.55</v>
      </c>
      <c r="E53" s="42">
        <f>-'[3]2110'!$D$15</f>
        <v>0</v>
      </c>
      <c r="F53" s="42">
        <f>-'[4]2110'!$D$15</f>
        <v>-246504.14</v>
      </c>
      <c r="G53" s="42">
        <f>-'[5]2110'!$D$15</f>
        <v>-166337.88</v>
      </c>
      <c r="H53" s="31"/>
      <c r="I53" s="31"/>
    </row>
    <row r="54" spans="1:9" s="32" customFormat="1" ht="18" customHeight="1">
      <c r="A54" s="31" t="s">
        <v>421</v>
      </c>
      <c r="B54" s="36">
        <f t="shared" si="1"/>
        <v>-216515680.03</v>
      </c>
      <c r="C54" s="42">
        <f>-'[1]2110'!$D18</f>
        <v>-77688489.89999999</v>
      </c>
      <c r="D54" s="42">
        <f>-'[2]2110'!$D18</f>
        <v>-57552426.83</v>
      </c>
      <c r="E54" s="42">
        <f>-'[3]2110'!$D18</f>
        <v>-34352523.029999994</v>
      </c>
      <c r="F54" s="42">
        <f>-'[4]2110'!$D18</f>
        <v>-19479447.06</v>
      </c>
      <c r="G54" s="42">
        <f>-'[5]2110'!$D18</f>
        <v>-27442793.21</v>
      </c>
      <c r="H54" s="31"/>
      <c r="I54" s="31"/>
    </row>
    <row r="55" spans="1:9" s="32" customFormat="1" ht="18" customHeight="1">
      <c r="A55" s="62" t="s">
        <v>175</v>
      </c>
      <c r="B55" s="36">
        <f t="shared" si="1"/>
        <v>-215516752.76999998</v>
      </c>
      <c r="C55" s="42">
        <f>-'[1]2110'!$D19</f>
        <v>-77458474.63</v>
      </c>
      <c r="D55" s="42">
        <f>-'[2]2110'!$D19</f>
        <v>-58959147.89</v>
      </c>
      <c r="E55" s="42">
        <f>-'[3]2110'!$D19</f>
        <v>-34263988.16</v>
      </c>
      <c r="F55" s="42">
        <f>-'[4]2110'!$D19</f>
        <v>-17556500.53</v>
      </c>
      <c r="G55" s="42">
        <f>-'[5]2110'!$D19</f>
        <v>-27278641.56</v>
      </c>
      <c r="H55" s="31"/>
      <c r="I55" s="31"/>
    </row>
    <row r="56" spans="1:9" s="32" customFormat="1" ht="18" customHeight="1">
      <c r="A56" s="62" t="s">
        <v>176</v>
      </c>
      <c r="B56" s="36">
        <f t="shared" si="1"/>
        <v>893509.9899999999</v>
      </c>
      <c r="C56" s="42">
        <f>-'[1]2110'!$D20</f>
        <v>-230015.27</v>
      </c>
      <c r="D56" s="42">
        <f>-'[2]2110'!$D20</f>
        <v>1406721.06</v>
      </c>
      <c r="E56" s="42">
        <f>-'[3]2110'!$D20</f>
        <v>-88534.87</v>
      </c>
      <c r="F56" s="42">
        <f>-'[4]2110'!$D20</f>
        <v>-184107.06</v>
      </c>
      <c r="G56" s="42">
        <f>-'[5]2110'!$D20</f>
        <v>-10553.87</v>
      </c>
      <c r="H56" s="31"/>
      <c r="I56" s="31"/>
    </row>
    <row r="57" spans="1:9" s="32" customFormat="1" ht="18" customHeight="1">
      <c r="A57" s="62" t="s">
        <v>177</v>
      </c>
      <c r="B57" s="36">
        <f t="shared" si="1"/>
        <v>-1892437.25</v>
      </c>
      <c r="C57" s="42">
        <f>-'[1]2110'!$D21</f>
        <v>0</v>
      </c>
      <c r="D57" s="42">
        <f>-'[2]2110'!$D21</f>
        <v>0</v>
      </c>
      <c r="E57" s="42">
        <f>-'[3]2110'!$D21</f>
        <v>0</v>
      </c>
      <c r="F57" s="42">
        <f>-'[4]2110'!$D21</f>
        <v>-1738839.47</v>
      </c>
      <c r="G57" s="42">
        <f>-'[5]2110'!$D21</f>
        <v>-153597.78</v>
      </c>
      <c r="H57" s="31"/>
      <c r="I57" s="31"/>
    </row>
    <row r="58" spans="1:8" s="32" customFormat="1" ht="18" customHeight="1">
      <c r="A58" s="31" t="s">
        <v>422</v>
      </c>
      <c r="B58" s="36">
        <f t="shared" si="1"/>
        <v>-83261084.50999999</v>
      </c>
      <c r="C58" s="42">
        <f>-'[1]2110'!$D$14</f>
        <v>-24546398.38</v>
      </c>
      <c r="D58" s="42">
        <f>-'[2]2110'!$D$14</f>
        <v>-30899133.66</v>
      </c>
      <c r="E58" s="42">
        <f>-'[3]2110'!$D$14</f>
        <v>-9453416.39</v>
      </c>
      <c r="F58" s="42">
        <f>-'[4]2110'!$D$14</f>
        <v>-8184996.81</v>
      </c>
      <c r="G58" s="42">
        <f>-'[5]2110'!$D$14</f>
        <v>-10177139.27</v>
      </c>
      <c r="H58" s="31"/>
    </row>
    <row r="59" spans="1:8" s="32" customFormat="1" ht="18" customHeight="1">
      <c r="A59" s="209" t="s">
        <v>423</v>
      </c>
      <c r="B59" s="207">
        <f t="shared" si="1"/>
        <v>-1034669062.77</v>
      </c>
      <c r="C59" s="42">
        <f>C43+C46+C47+SUM(C52:C54)+C58</f>
        <v>-355572617.93</v>
      </c>
      <c r="D59" s="42">
        <f>D43+D46+D47+SUM(D52:D54)+D58</f>
        <v>-307910026.92</v>
      </c>
      <c r="E59" s="42">
        <f>E43+E46+E47+SUM(E52:E54)+E58</f>
        <v>-177739275.02999997</v>
      </c>
      <c r="F59" s="42">
        <f>F43+F46+F47+SUM(F52:F54)+F58</f>
        <v>-95979669.59</v>
      </c>
      <c r="G59" s="42">
        <f>G43+G46+G47+SUM(G52:G54)+G58</f>
        <v>-97467473.3</v>
      </c>
      <c r="H59" s="31"/>
    </row>
    <row r="60" spans="1:8" s="32" customFormat="1" ht="18" customHeight="1">
      <c r="A60" s="213" t="s">
        <v>178</v>
      </c>
      <c r="B60" s="214">
        <f t="shared" si="1"/>
        <v>32806170.81000009</v>
      </c>
      <c r="C60" s="42">
        <f>C42+C59</f>
        <v>14300047.99000007</v>
      </c>
      <c r="D60" s="42">
        <f>D42+D59</f>
        <v>-3210302.620000005</v>
      </c>
      <c r="E60" s="42">
        <f>E42+E59</f>
        <v>8833960.980000049</v>
      </c>
      <c r="F60" s="42">
        <f>F42+F59</f>
        <v>9481362.459999993</v>
      </c>
      <c r="G60" s="42">
        <f>G42+G59</f>
        <v>3401101.999999985</v>
      </c>
      <c r="H60" s="31"/>
    </row>
    <row r="61" spans="1:8" s="32" customFormat="1" ht="18" customHeight="1">
      <c r="A61" s="31" t="s">
        <v>424</v>
      </c>
      <c r="B61" s="36">
        <f t="shared" si="1"/>
        <v>3072073.5999999996</v>
      </c>
      <c r="C61" s="42">
        <f>'[1]2110'!$L27</f>
        <v>801983.89</v>
      </c>
      <c r="D61" s="42">
        <f>'[2]2110'!$L27</f>
        <v>0</v>
      </c>
      <c r="E61" s="42">
        <f>'[3]2110'!$L27</f>
        <v>552408.38</v>
      </c>
      <c r="F61" s="42">
        <f>'[4]2110'!$L27</f>
        <v>51918.82</v>
      </c>
      <c r="G61" s="42">
        <f>'[5]2110'!$L27</f>
        <v>1665762.5099999998</v>
      </c>
      <c r="H61" s="31"/>
    </row>
    <row r="62" spans="1:8" s="32" customFormat="1" ht="18" customHeight="1">
      <c r="A62" s="62" t="s">
        <v>179</v>
      </c>
      <c r="B62" s="36">
        <f t="shared" si="1"/>
        <v>169772.48</v>
      </c>
      <c r="C62" s="42">
        <f>'[1]2110'!$L28</f>
        <v>11106.65</v>
      </c>
      <c r="D62" s="42">
        <f>'[2]2110'!$L28</f>
        <v>0</v>
      </c>
      <c r="E62" s="42">
        <f>'[3]2110'!$L28</f>
        <v>0</v>
      </c>
      <c r="F62" s="42">
        <f>'[4]2110'!$L28</f>
        <v>35576.34</v>
      </c>
      <c r="G62" s="42">
        <f>'[5]2110'!$L28</f>
        <v>123089.49</v>
      </c>
      <c r="H62" s="31"/>
    </row>
    <row r="63" spans="1:8" s="32" customFormat="1" ht="18" customHeight="1">
      <c r="A63" s="62" t="s">
        <v>180</v>
      </c>
      <c r="B63" s="36">
        <f t="shared" si="1"/>
        <v>0</v>
      </c>
      <c r="C63" s="42">
        <f>'[1]2110'!$L29</f>
        <v>0</v>
      </c>
      <c r="D63" s="42">
        <f>'[2]2110'!$L29</f>
        <v>0</v>
      </c>
      <c r="E63" s="42">
        <f>'[3]2110'!$L29</f>
        <v>0</v>
      </c>
      <c r="F63" s="42">
        <f>'[4]2110'!$L29</f>
        <v>0</v>
      </c>
      <c r="G63" s="42">
        <f>'[5]2110'!$L29</f>
        <v>0</v>
      </c>
      <c r="H63" s="31"/>
    </row>
    <row r="64" spans="1:8" s="32" customFormat="1" ht="18" customHeight="1">
      <c r="A64" s="62" t="s">
        <v>181</v>
      </c>
      <c r="B64" s="36">
        <f t="shared" si="1"/>
        <v>1228238.9</v>
      </c>
      <c r="C64" s="42">
        <f>'[1]2110'!$L30</f>
        <v>115.7</v>
      </c>
      <c r="D64" s="42">
        <f>'[2]2110'!$L30</f>
        <v>0</v>
      </c>
      <c r="E64" s="42">
        <f>'[3]2110'!$L30</f>
        <v>108422.47</v>
      </c>
      <c r="F64" s="42">
        <f>'[4]2110'!$L30</f>
        <v>183.08</v>
      </c>
      <c r="G64" s="42">
        <f>'[5]2110'!$L30</f>
        <v>1119517.65</v>
      </c>
      <c r="H64" s="31"/>
    </row>
    <row r="65" spans="1:8" s="32" customFormat="1" ht="18" customHeight="1">
      <c r="A65" s="62" t="s">
        <v>182</v>
      </c>
      <c r="B65" s="36">
        <f t="shared" si="1"/>
        <v>1674062.2199999997</v>
      </c>
      <c r="C65" s="42">
        <f>'[1]2110'!$L31</f>
        <v>790761.54</v>
      </c>
      <c r="D65" s="42">
        <f>'[2]2110'!$L31</f>
        <v>0</v>
      </c>
      <c r="E65" s="42">
        <f>'[3]2110'!$L31</f>
        <v>443985.91</v>
      </c>
      <c r="F65" s="42">
        <f>'[4]2110'!$L31</f>
        <v>16159.4</v>
      </c>
      <c r="G65" s="42">
        <f>'[5]2110'!$L31</f>
        <v>423155.37</v>
      </c>
      <c r="H65" s="3"/>
    </row>
    <row r="66" spans="1:12" ht="18" customHeight="1">
      <c r="A66" s="31" t="s">
        <v>425</v>
      </c>
      <c r="B66" s="36">
        <f t="shared" si="1"/>
        <v>-35961907.190000005</v>
      </c>
      <c r="C66" s="42">
        <f>-'[1]2110'!$D32</f>
        <v>-3928185.11</v>
      </c>
      <c r="D66" s="42">
        <f>-'[2]2110'!$D32</f>
        <v>-940106.06</v>
      </c>
      <c r="E66" s="42">
        <f>-'[3]2110'!$D32</f>
        <v>-28379804.14</v>
      </c>
      <c r="F66" s="42">
        <f>-'[4]2110'!$D32</f>
        <v>-2134684.25</v>
      </c>
      <c r="G66" s="42">
        <f>-'[5]2110'!$D32</f>
        <v>-579127.63</v>
      </c>
      <c r="I66" s="32"/>
      <c r="J66" s="32"/>
      <c r="K66" s="32"/>
      <c r="L66" s="32"/>
    </row>
    <row r="67" spans="1:12" ht="18" customHeight="1">
      <c r="A67" s="62" t="s">
        <v>183</v>
      </c>
      <c r="B67" s="36">
        <f t="shared" si="1"/>
        <v>-188292.22</v>
      </c>
      <c r="C67" s="42">
        <f>-'[1]2110'!$D33</f>
        <v>-127070.55</v>
      </c>
      <c r="D67" s="42">
        <f>-'[2]2110'!$D33</f>
        <v>-14145.15</v>
      </c>
      <c r="E67" s="42">
        <f>-'[3]2110'!$D33</f>
        <v>0</v>
      </c>
      <c r="F67" s="42">
        <f>-'[4]2110'!$D33</f>
        <v>-6697.12</v>
      </c>
      <c r="G67" s="42">
        <f>-'[5]2110'!$D33</f>
        <v>-40379.4</v>
      </c>
      <c r="I67" s="32"/>
      <c r="J67" s="32"/>
      <c r="K67" s="32"/>
      <c r="L67" s="32"/>
    </row>
    <row r="68" spans="1:12" ht="18" customHeight="1">
      <c r="A68" s="62" t="s">
        <v>184</v>
      </c>
      <c r="B68" s="36">
        <f t="shared" si="1"/>
        <v>0</v>
      </c>
      <c r="C68" s="42">
        <f>-'[1]2110'!$D34</f>
        <v>0</v>
      </c>
      <c r="D68" s="42">
        <f>-'[2]2110'!$D34</f>
        <v>0</v>
      </c>
      <c r="E68" s="42">
        <f>-'[3]2110'!$D34</f>
        <v>0</v>
      </c>
      <c r="F68" s="42">
        <f>-'[4]2110'!$D34</f>
        <v>0</v>
      </c>
      <c r="G68" s="42">
        <f>-'[5]2110'!$D34</f>
        <v>0</v>
      </c>
      <c r="I68" s="32"/>
      <c r="J68" s="32"/>
      <c r="K68" s="32"/>
      <c r="L68" s="32"/>
    </row>
    <row r="69" spans="1:12" ht="18" customHeight="1">
      <c r="A69" s="62" t="s">
        <v>185</v>
      </c>
      <c r="B69" s="36">
        <f t="shared" si="1"/>
        <v>-31616656.35</v>
      </c>
      <c r="C69" s="42">
        <f>-'[1]2110'!$D35</f>
        <v>-2425440.79</v>
      </c>
      <c r="D69" s="42">
        <f>-'[2]2110'!$D35</f>
        <v>-286082.21</v>
      </c>
      <c r="E69" s="42">
        <f>-'[3]2110'!$D35</f>
        <v>-27552016.18</v>
      </c>
      <c r="F69" s="42">
        <f>-'[4]2110'!$D35</f>
        <v>-1352817.17</v>
      </c>
      <c r="G69" s="42">
        <f>-'[5]2110'!$D35</f>
        <v>-300</v>
      </c>
      <c r="I69" s="32"/>
      <c r="J69" s="32"/>
      <c r="K69" s="32"/>
      <c r="L69" s="32"/>
    </row>
    <row r="70" spans="1:12" ht="18" customHeight="1">
      <c r="A70" s="62" t="s">
        <v>186</v>
      </c>
      <c r="B70" s="36">
        <f t="shared" si="1"/>
        <v>-4156958.6199999996</v>
      </c>
      <c r="C70" s="42">
        <f>-'[1]2110'!$D36</f>
        <v>-1375673.77</v>
      </c>
      <c r="D70" s="42">
        <f>-'[2]2110'!$D36</f>
        <v>-639878.7</v>
      </c>
      <c r="E70" s="42">
        <f>-'[3]2110'!$D36</f>
        <v>-827787.96</v>
      </c>
      <c r="F70" s="42">
        <f>-'[4]2110'!$D36</f>
        <v>-775169.96</v>
      </c>
      <c r="G70" s="42">
        <f>-'[5]2110'!$D36</f>
        <v>-538448.23</v>
      </c>
      <c r="H70" s="26"/>
      <c r="I70" s="32"/>
      <c r="J70" s="32"/>
      <c r="K70" s="32"/>
      <c r="L70" s="32"/>
    </row>
    <row r="71" spans="1:12" ht="18" customHeight="1">
      <c r="A71" s="213" t="s">
        <v>426</v>
      </c>
      <c r="B71" s="214">
        <f t="shared" si="1"/>
        <v>-83662.77999990527</v>
      </c>
      <c r="C71" s="42">
        <f>C60+C61+C66</f>
        <v>11173846.77000007</v>
      </c>
      <c r="D71" s="42">
        <f>D60+D61+D66</f>
        <v>-4150408.680000005</v>
      </c>
      <c r="E71" s="42">
        <f>E60+E61+E66</f>
        <v>-18993434.77999995</v>
      </c>
      <c r="F71" s="42">
        <f>F60+F61+F66</f>
        <v>7398597.029999994</v>
      </c>
      <c r="G71" s="42">
        <f>G60+G61+G66</f>
        <v>4487736.879999985</v>
      </c>
      <c r="I71" s="32"/>
      <c r="J71" s="32"/>
      <c r="K71" s="32"/>
      <c r="L71" s="32"/>
    </row>
    <row r="72" spans="1:7" ht="18" customHeight="1">
      <c r="A72" s="31" t="s">
        <v>427</v>
      </c>
      <c r="B72" s="36">
        <f t="shared" si="1"/>
        <v>98434.54</v>
      </c>
      <c r="C72" s="42">
        <f>'[1]2110'!$L$16+'[1]2110'!$L$17</f>
        <v>0</v>
      </c>
      <c r="D72" s="42">
        <f>'[2]2110'!$L$16+'[2]2110'!$L$17</f>
        <v>0</v>
      </c>
      <c r="E72" s="42">
        <f>'[3]2110'!$L$16+'[3]2110'!$L$17</f>
        <v>0</v>
      </c>
      <c r="F72" s="42">
        <f>'[4]2110'!$L$16+'[4]2110'!$L$17</f>
        <v>0</v>
      </c>
      <c r="G72" s="42">
        <f>'[5]2110'!$L$16+'[5]2110'!$L$17</f>
        <v>98434.54</v>
      </c>
    </row>
    <row r="73" spans="1:7" ht="18" customHeight="1">
      <c r="A73" s="31" t="s">
        <v>428</v>
      </c>
      <c r="B73" s="36">
        <f t="shared" si="1"/>
        <v>358049.35</v>
      </c>
      <c r="C73" s="42">
        <f>'[1]2110'!$L$18</f>
        <v>9758.76</v>
      </c>
      <c r="D73" s="42">
        <f>'[2]2110'!$L$18</f>
        <v>2718.51</v>
      </c>
      <c r="E73" s="42">
        <f>'[3]2110'!$L$18</f>
        <v>153873.28</v>
      </c>
      <c r="F73" s="42">
        <f>'[4]2110'!$L$18</f>
        <v>29919.14</v>
      </c>
      <c r="G73" s="42">
        <f>'[5]2110'!$L$18</f>
        <v>161779.66</v>
      </c>
    </row>
    <row r="74" spans="1:7" ht="18" customHeight="1">
      <c r="A74" s="31" t="s">
        <v>429</v>
      </c>
      <c r="B74" s="36">
        <f t="shared" si="1"/>
        <v>-15516672.41</v>
      </c>
      <c r="C74" s="42">
        <f>-'[1]2110'!$D$22</f>
        <v>-3815683.7800000003</v>
      </c>
      <c r="D74" s="42">
        <f>-'[2]2110'!$D$22</f>
        <v>-3848728.85</v>
      </c>
      <c r="E74" s="42">
        <f>-'[3]2110'!$D$22</f>
        <v>-4279499.67</v>
      </c>
      <c r="F74" s="42">
        <f>-'[4]2110'!$D$22</f>
        <v>-2512235.52</v>
      </c>
      <c r="G74" s="42">
        <f>-'[5]2110'!$D$22</f>
        <v>-1060524.59</v>
      </c>
    </row>
    <row r="75" spans="1:7" ht="18" customHeight="1">
      <c r="A75" s="31" t="s">
        <v>430</v>
      </c>
      <c r="B75" s="36">
        <f t="shared" si="1"/>
        <v>-55894</v>
      </c>
      <c r="C75" s="42">
        <f>-'[1]2110'!$D$25</f>
        <v>0</v>
      </c>
      <c r="D75" s="42">
        <f>-'[2]2110'!$D$25</f>
        <v>0</v>
      </c>
      <c r="E75" s="42">
        <f>-'[3]2110'!$D$25</f>
        <v>0</v>
      </c>
      <c r="F75" s="42">
        <f>-'[4]2110'!$D$25</f>
        <v>-56300</v>
      </c>
      <c r="G75" s="42">
        <f>-'[5]2110'!$D$25</f>
        <v>406</v>
      </c>
    </row>
    <row r="76" spans="1:11" ht="18" customHeight="1">
      <c r="A76" s="31" t="s">
        <v>431</v>
      </c>
      <c r="B76" s="36">
        <f t="shared" si="1"/>
        <v>-50491.42999999999</v>
      </c>
      <c r="C76" s="42">
        <f>'[1]2110'!$L$21-'[1]2110'!$D$26</f>
        <v>0</v>
      </c>
      <c r="D76" s="42">
        <f>'[2]2110'!$L$21-'[2]2110'!$D$26</f>
        <v>-58697.88</v>
      </c>
      <c r="E76" s="42">
        <f>'[3]2110'!$L$21-'[3]2110'!$D$26</f>
        <v>0</v>
      </c>
      <c r="F76" s="42">
        <f>'[4]2110'!$L$21-'[4]2110'!$D$26</f>
        <v>0</v>
      </c>
      <c r="G76" s="42">
        <f>'[5]2110'!$L$21-'[5]2110'!$D$26</f>
        <v>8206.45</v>
      </c>
      <c r="I76" s="26"/>
      <c r="K76" s="26"/>
    </row>
    <row r="77" spans="1:7" ht="18" customHeight="1">
      <c r="A77" s="213" t="s">
        <v>432</v>
      </c>
      <c r="B77" s="214">
        <f t="shared" si="1"/>
        <v>-15166573.950000001</v>
      </c>
      <c r="C77" s="42">
        <f>SUM(C72:C76)</f>
        <v>-3805925.0200000005</v>
      </c>
      <c r="D77" s="42">
        <f>SUM(D72:D76)</f>
        <v>-3904708.22</v>
      </c>
      <c r="E77" s="42">
        <f>SUM(E72:E76)</f>
        <v>-4125626.39</v>
      </c>
      <c r="F77" s="42">
        <f>SUM(F72:F76)</f>
        <v>-2538616.38</v>
      </c>
      <c r="G77" s="42">
        <f>SUM(G72:G76)</f>
        <v>-791697.9400000002</v>
      </c>
    </row>
    <row r="78" spans="1:7" ht="18" customHeight="1">
      <c r="A78" s="213" t="s">
        <v>187</v>
      </c>
      <c r="B78" s="214">
        <f>SUM(C78:G78)</f>
        <v>-15250236.729999905</v>
      </c>
      <c r="C78" s="42">
        <f>C71+C77</f>
        <v>7367921.75000007</v>
      </c>
      <c r="D78" s="42">
        <f>D71+D77</f>
        <v>-8055116.900000005</v>
      </c>
      <c r="E78" s="42">
        <f>E71+E77</f>
        <v>-23119061.16999995</v>
      </c>
      <c r="F78" s="42">
        <f>F71+F77</f>
        <v>4859980.649999994</v>
      </c>
      <c r="G78" s="42">
        <f>G71+G77</f>
        <v>3696038.9399999846</v>
      </c>
    </row>
    <row r="79" spans="1:7" ht="18" customHeight="1">
      <c r="A79" s="60"/>
      <c r="B79" s="33"/>
      <c r="C79" s="42"/>
      <c r="D79" s="42"/>
      <c r="E79" s="42"/>
      <c r="F79" s="42"/>
      <c r="G79" s="42"/>
    </row>
    <row r="80" spans="1:7" ht="18" customHeight="1">
      <c r="A80" s="55" t="s">
        <v>32</v>
      </c>
      <c r="B80" s="56"/>
      <c r="C80" s="42"/>
      <c r="D80" s="42"/>
      <c r="E80" s="42"/>
      <c r="F80" s="42"/>
      <c r="G80" s="42"/>
    </row>
    <row r="81" spans="1:7" ht="15.75">
      <c r="A81" s="31" t="s">
        <v>433</v>
      </c>
      <c r="B81" s="36">
        <f>SUM(C81:G81)</f>
        <v>0</v>
      </c>
      <c r="C81" s="42"/>
      <c r="D81" s="42"/>
      <c r="E81" s="42"/>
      <c r="F81" s="42"/>
      <c r="G81" s="42"/>
    </row>
    <row r="82" spans="1:7" ht="16.5" thickBot="1">
      <c r="A82" s="215" t="s">
        <v>434</v>
      </c>
      <c r="B82" s="211">
        <f>SUM(C82:G82)</f>
        <v>-15250236.729999905</v>
      </c>
      <c r="C82" s="69">
        <f>C78+C81</f>
        <v>7367921.75000007</v>
      </c>
      <c r="D82" s="69">
        <f>D78+D81</f>
        <v>-8055116.900000005</v>
      </c>
      <c r="E82" s="69">
        <f>E78+E81</f>
        <v>-23119061.16999995</v>
      </c>
      <c r="F82" s="69">
        <f>F78+F81</f>
        <v>4859980.649999994</v>
      </c>
      <c r="G82" s="69">
        <f>G78+G81</f>
        <v>3696038.9399999846</v>
      </c>
    </row>
    <row r="83" spans="1:7" ht="15.75">
      <c r="A83" s="60"/>
      <c r="B83" s="33"/>
      <c r="C83" s="33"/>
      <c r="D83" s="33"/>
      <c r="E83" s="33"/>
      <c r="F83" s="33"/>
      <c r="G83" s="33"/>
    </row>
    <row r="84" spans="1:7" ht="15.75">
      <c r="A84" s="60"/>
      <c r="B84" s="33"/>
      <c r="C84" s="33"/>
      <c r="D84" s="33"/>
      <c r="E84" s="33"/>
      <c r="F84" s="33"/>
      <c r="G84" s="33"/>
    </row>
    <row r="85" spans="1:7" ht="15.75">
      <c r="A85" s="32" t="s">
        <v>464</v>
      </c>
      <c r="C85" s="33"/>
      <c r="D85" s="33"/>
      <c r="E85" s="33"/>
      <c r="F85" s="33"/>
      <c r="G85" s="33"/>
    </row>
    <row r="86" ht="15.75">
      <c r="A86" s="32" t="s">
        <v>465</v>
      </c>
    </row>
    <row r="87" ht="15.75">
      <c r="A87" s="32"/>
    </row>
    <row r="88" ht="15.75">
      <c r="A88" s="60" t="s">
        <v>463</v>
      </c>
    </row>
    <row r="89" ht="15.75">
      <c r="A89" s="31" t="s">
        <v>461</v>
      </c>
    </row>
  </sheetData>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F183"/>
  <sheetViews>
    <sheetView tabSelected="1" zoomScale="75" zoomScaleNormal="75" workbookViewId="0" topLeftCell="A25">
      <selection activeCell="J46" sqref="J46"/>
    </sheetView>
  </sheetViews>
  <sheetFormatPr defaultColWidth="11.421875" defaultRowHeight="12.75"/>
  <cols>
    <col min="1" max="1" width="3.421875" style="61" customWidth="1"/>
    <col min="2" max="2" width="39.140625" style="3" customWidth="1"/>
    <col min="3" max="5" width="18.00390625" style="3" customWidth="1"/>
    <col min="6" max="6" width="19.7109375" style="3" customWidth="1"/>
    <col min="7" max="7" width="18.8515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9</v>
      </c>
      <c r="M1" s="8">
        <f>Balance!L1</f>
        <v>2016</v>
      </c>
      <c r="N1" s="45"/>
      <c r="O1" s="45"/>
      <c r="P1" s="45"/>
      <c r="Q1" s="45"/>
      <c r="R1" s="45"/>
      <c r="AC1" s="45"/>
      <c r="AD1" s="45"/>
      <c r="AE1" s="45"/>
      <c r="AF1" s="45"/>
      <c r="AG1" s="45"/>
      <c r="AH1" s="45"/>
      <c r="AI1" s="45"/>
      <c r="AJ1" s="45"/>
      <c r="AK1" s="45"/>
      <c r="AL1" s="45"/>
      <c r="AM1" s="45"/>
      <c r="AN1" s="45"/>
      <c r="AO1" s="45"/>
      <c r="AP1" s="45"/>
      <c r="AQ1" s="45"/>
      <c r="AR1" s="45"/>
      <c r="AS1" s="45"/>
      <c r="AT1" s="45"/>
      <c r="AU1" s="45"/>
      <c r="AV1" s="45"/>
      <c r="AW1" s="45"/>
      <c r="AX1" s="45"/>
      <c r="AY1" s="45"/>
      <c r="AZ1" s="45"/>
      <c r="BA1" s="45"/>
      <c r="BB1" s="45"/>
      <c r="BC1" s="45"/>
      <c r="BD1" s="45"/>
      <c r="BE1" s="45"/>
      <c r="BF1" s="45"/>
      <c r="BG1" s="45"/>
      <c r="BH1" s="45"/>
      <c r="BI1" s="45"/>
      <c r="BJ1" s="45"/>
      <c r="BK1" s="45"/>
      <c r="BL1" s="45"/>
      <c r="BM1" s="45"/>
      <c r="BN1" s="45"/>
      <c r="BO1" s="45"/>
      <c r="BP1" s="45"/>
      <c r="BQ1" s="45"/>
      <c r="BR1" s="45"/>
      <c r="BS1" s="45"/>
      <c r="BT1" s="45"/>
      <c r="BU1" s="45"/>
      <c r="BV1" s="45"/>
      <c r="BW1" s="45"/>
      <c r="BX1" s="45"/>
      <c r="BY1" s="45"/>
      <c r="BZ1" s="45"/>
      <c r="CA1" s="45"/>
      <c r="CB1" s="45"/>
      <c r="CC1" s="45"/>
      <c r="CD1" s="45"/>
      <c r="CE1" s="45"/>
      <c r="CF1" s="45"/>
      <c r="CG1" s="45"/>
      <c r="CH1" s="45"/>
      <c r="CI1" s="45"/>
      <c r="CJ1" s="45"/>
      <c r="CK1" s="45"/>
      <c r="CL1" s="45"/>
      <c r="CM1" s="45"/>
      <c r="CN1" s="45"/>
      <c r="CO1" s="45"/>
      <c r="CP1" s="45"/>
      <c r="CQ1" s="45"/>
      <c r="CR1" s="45"/>
      <c r="CS1" s="45"/>
      <c r="CT1" s="45"/>
      <c r="CU1" s="45"/>
      <c r="CV1" s="45"/>
      <c r="CW1" s="45"/>
      <c r="CX1" s="45"/>
      <c r="CY1" s="45"/>
      <c r="CZ1" s="45"/>
      <c r="DA1" s="45"/>
      <c r="DB1" s="45"/>
      <c r="DC1" s="45"/>
      <c r="DD1" s="45"/>
      <c r="DE1" s="45"/>
      <c r="DF1" s="45"/>
      <c r="DG1" s="45"/>
      <c r="DH1" s="45"/>
      <c r="DI1" s="45"/>
      <c r="DJ1" s="45"/>
      <c r="DK1" s="45"/>
      <c r="DL1" s="45"/>
      <c r="DM1" s="45"/>
      <c r="DN1" s="45"/>
      <c r="DO1" s="45"/>
      <c r="DP1" s="45"/>
      <c r="DQ1" s="45"/>
      <c r="DR1" s="45"/>
      <c r="DS1" s="45"/>
      <c r="DT1" s="45"/>
      <c r="DU1" s="45"/>
      <c r="DV1" s="45"/>
      <c r="DW1" s="45"/>
      <c r="DX1" s="45"/>
      <c r="DY1" s="45"/>
      <c r="DZ1" s="45"/>
      <c r="EA1" s="45"/>
      <c r="EB1" s="45"/>
      <c r="EC1" s="46"/>
      <c r="ED1" s="46"/>
      <c r="EE1" s="46"/>
      <c r="EF1" s="46"/>
      <c r="EG1" s="46"/>
      <c r="EH1" s="46"/>
      <c r="EI1" s="46"/>
      <c r="EJ1" s="46"/>
      <c r="EK1" s="46"/>
      <c r="EL1" s="46"/>
      <c r="EM1" s="46"/>
      <c r="EN1" s="46"/>
      <c r="EO1" s="46"/>
      <c r="EP1" s="46"/>
      <c r="EQ1" s="46"/>
      <c r="ER1" s="46"/>
      <c r="ES1" s="46"/>
      <c r="ET1" s="46"/>
      <c r="EU1" s="46"/>
      <c r="EV1" s="46"/>
      <c r="EW1" s="46"/>
      <c r="EX1" s="46"/>
      <c r="EY1" s="46"/>
      <c r="EZ1" s="46"/>
      <c r="FA1" s="46"/>
      <c r="FB1" s="46"/>
      <c r="FC1" s="46"/>
      <c r="FD1" s="46"/>
      <c r="FE1" s="46"/>
      <c r="FF1" s="46"/>
      <c r="FG1" s="46"/>
      <c r="FH1" s="46"/>
      <c r="FI1" s="46"/>
      <c r="FJ1" s="46"/>
      <c r="FK1" s="46"/>
      <c r="FL1" s="46"/>
      <c r="FM1" s="46"/>
      <c r="FN1" s="46"/>
      <c r="FO1" s="46"/>
      <c r="FP1" s="46"/>
      <c r="FQ1" s="46"/>
      <c r="FR1" s="46"/>
      <c r="FS1" s="46"/>
      <c r="FT1" s="46"/>
      <c r="FU1" s="46"/>
      <c r="FV1" s="46"/>
      <c r="FW1" s="46"/>
      <c r="FX1" s="46"/>
      <c r="FY1" s="46"/>
      <c r="FZ1" s="46"/>
      <c r="GA1" s="46"/>
      <c r="GB1" s="46"/>
      <c r="GC1" s="46"/>
      <c r="GD1" s="46"/>
      <c r="GE1" s="46"/>
      <c r="GF1" s="46"/>
      <c r="GG1" s="46"/>
      <c r="GH1" s="46"/>
      <c r="GI1" s="46"/>
      <c r="GJ1" s="46"/>
      <c r="GK1" s="46"/>
      <c r="GL1" s="46"/>
      <c r="GM1" s="46"/>
      <c r="GN1" s="46"/>
      <c r="GO1" s="46"/>
      <c r="GP1" s="46"/>
      <c r="GQ1" s="46"/>
      <c r="GR1" s="46"/>
      <c r="GS1" s="46"/>
      <c r="GT1" s="46"/>
      <c r="GU1" s="46"/>
      <c r="GV1" s="46"/>
      <c r="GW1" s="46"/>
      <c r="GX1" s="46"/>
      <c r="GY1" s="46"/>
      <c r="GZ1" s="46"/>
      <c r="HA1" s="46"/>
      <c r="HB1" s="46"/>
      <c r="HC1" s="46"/>
      <c r="HD1" s="46"/>
      <c r="HE1" s="46"/>
      <c r="HF1" s="46"/>
    </row>
    <row r="2" spans="1:214" s="2" customFormat="1" ht="12.95" customHeight="1" thickBot="1">
      <c r="A2" s="5"/>
      <c r="B2" s="6"/>
      <c r="C2" s="9"/>
      <c r="D2" s="9"/>
      <c r="E2" s="9"/>
      <c r="F2" s="9"/>
      <c r="G2" s="9"/>
      <c r="H2" s="9"/>
      <c r="I2" s="9"/>
      <c r="J2" s="9"/>
      <c r="K2" s="6"/>
      <c r="L2" s="7"/>
      <c r="M2" s="87"/>
      <c r="N2" s="45"/>
      <c r="O2" s="45"/>
      <c r="P2" s="45"/>
      <c r="Q2" s="45"/>
      <c r="R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c r="CA2" s="45"/>
      <c r="CB2" s="45"/>
      <c r="CC2" s="45"/>
      <c r="CD2" s="45"/>
      <c r="CE2" s="45"/>
      <c r="CF2" s="45"/>
      <c r="CG2" s="45"/>
      <c r="CH2" s="45"/>
      <c r="CI2" s="45"/>
      <c r="CJ2" s="45"/>
      <c r="CK2" s="45"/>
      <c r="CL2" s="45"/>
      <c r="CM2" s="45"/>
      <c r="CN2" s="45"/>
      <c r="CO2" s="45"/>
      <c r="CP2" s="45"/>
      <c r="CQ2" s="45"/>
      <c r="CR2" s="45"/>
      <c r="CS2" s="45"/>
      <c r="CT2" s="45"/>
      <c r="CU2" s="45"/>
      <c r="CV2" s="45"/>
      <c r="CW2" s="45"/>
      <c r="CX2" s="45"/>
      <c r="CY2" s="45"/>
      <c r="CZ2" s="45"/>
      <c r="DA2" s="45"/>
      <c r="DB2" s="45"/>
      <c r="DC2" s="45"/>
      <c r="DD2" s="45"/>
      <c r="DE2" s="45"/>
      <c r="DF2" s="45"/>
      <c r="DG2" s="45"/>
      <c r="DH2" s="45"/>
      <c r="DI2" s="45"/>
      <c r="DJ2" s="45"/>
      <c r="DK2" s="45"/>
      <c r="DL2" s="45"/>
      <c r="DM2" s="45"/>
      <c r="DN2" s="45"/>
      <c r="DO2" s="45"/>
      <c r="DP2" s="45"/>
      <c r="DQ2" s="45"/>
      <c r="DR2" s="45"/>
      <c r="DS2" s="45"/>
      <c r="DT2" s="45"/>
      <c r="DU2" s="45"/>
      <c r="DV2" s="45"/>
      <c r="DW2" s="45"/>
      <c r="DX2" s="45"/>
      <c r="DY2" s="45"/>
      <c r="DZ2" s="45"/>
      <c r="EA2" s="45"/>
      <c r="EB2" s="45"/>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row>
    <row r="3" spans="1:214" s="2" customFormat="1" ht="33" customHeight="1">
      <c r="A3" s="70" t="str">
        <f>"                                            "&amp;"UNIVERSIDADES"</f>
        <v xml:space="preserve">                                            UNIVERSIDADES</v>
      </c>
      <c r="B3" s="10"/>
      <c r="C3" s="10"/>
      <c r="D3" s="10"/>
      <c r="E3" s="10"/>
      <c r="F3" s="10"/>
      <c r="G3" s="10"/>
      <c r="H3" s="10"/>
      <c r="I3" s="10"/>
      <c r="J3" s="11"/>
      <c r="K3" s="11"/>
      <c r="L3" s="12"/>
      <c r="M3" s="13"/>
      <c r="N3" s="15"/>
      <c r="O3" s="15"/>
      <c r="P3" s="15"/>
      <c r="Q3" s="15"/>
      <c r="R3" s="1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5"/>
      <c r="CX3" s="45"/>
      <c r="CY3" s="45"/>
      <c r="CZ3" s="45"/>
      <c r="DA3" s="45"/>
      <c r="DB3" s="45"/>
      <c r="DC3" s="45"/>
      <c r="DD3" s="45"/>
      <c r="DE3" s="45"/>
      <c r="DF3" s="45"/>
      <c r="DG3" s="45"/>
      <c r="DH3" s="45"/>
      <c r="DI3" s="45"/>
      <c r="DJ3" s="45"/>
      <c r="DK3" s="45"/>
      <c r="DL3" s="45"/>
      <c r="DM3" s="45"/>
      <c r="DN3" s="45"/>
      <c r="DO3" s="45"/>
      <c r="DP3" s="45"/>
      <c r="DQ3" s="45"/>
      <c r="DR3" s="45"/>
      <c r="DS3" s="45"/>
      <c r="DT3" s="45"/>
      <c r="DU3" s="45"/>
      <c r="DV3" s="45"/>
      <c r="DW3" s="45"/>
      <c r="DX3" s="45"/>
      <c r="DY3" s="45"/>
      <c r="DZ3" s="45"/>
      <c r="EA3" s="45"/>
      <c r="EB3" s="45"/>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row>
    <row r="4" spans="1:214" s="2" customFormat="1" ht="20.1" customHeight="1">
      <c r="A4" s="14" t="s">
        <v>33</v>
      </c>
      <c r="B4" s="15"/>
      <c r="C4" s="15"/>
      <c r="D4" s="15"/>
      <c r="E4" s="15"/>
      <c r="F4" s="15"/>
      <c r="G4" s="15"/>
      <c r="H4" s="15"/>
      <c r="I4" s="15"/>
      <c r="J4" s="14"/>
      <c r="K4" s="14"/>
      <c r="L4" s="16"/>
      <c r="M4" s="17"/>
      <c r="N4" s="15"/>
      <c r="O4" s="15"/>
      <c r="P4" s="15"/>
      <c r="Q4" s="15"/>
      <c r="R4" s="15"/>
      <c r="AC4" s="49"/>
      <c r="AD4" s="49"/>
      <c r="AE4" s="49"/>
      <c r="AF4" s="49"/>
      <c r="AG4" s="49"/>
      <c r="AH4" s="49"/>
      <c r="AI4" s="49"/>
      <c r="AJ4" s="49"/>
      <c r="AK4" s="49"/>
      <c r="AL4" s="49"/>
      <c r="AM4" s="49"/>
      <c r="AN4" s="49"/>
      <c r="AO4" s="49"/>
      <c r="AP4" s="49"/>
      <c r="AQ4" s="49"/>
      <c r="AR4" s="49"/>
      <c r="AS4" s="49"/>
      <c r="AT4" s="49"/>
      <c r="AU4" s="49"/>
      <c r="AV4" s="49"/>
      <c r="AW4" s="49"/>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row>
    <row r="5" spans="1:214" s="2" customFormat="1" ht="18" customHeight="1" thickBot="1">
      <c r="A5" s="18"/>
      <c r="B5" s="19"/>
      <c r="C5" s="19"/>
      <c r="D5" s="19"/>
      <c r="E5" s="19"/>
      <c r="F5" s="19"/>
      <c r="G5" s="19"/>
      <c r="H5" s="19"/>
      <c r="I5" s="19"/>
      <c r="J5" s="71" t="str">
        <f>"Población a 01/01/"</f>
        <v>Población a 01/01/</v>
      </c>
      <c r="K5" s="146">
        <f>M1</f>
        <v>2016</v>
      </c>
      <c r="L5" s="71"/>
      <c r="M5" s="73">
        <f>Balance!K5</f>
        <v>4959968</v>
      </c>
      <c r="N5" s="21"/>
      <c r="O5" s="21"/>
      <c r="P5" s="21"/>
      <c r="Q5" s="21"/>
      <c r="R5" s="21"/>
      <c r="AC5" s="49"/>
      <c r="AD5" s="49"/>
      <c r="AE5" s="49"/>
      <c r="AF5" s="49"/>
      <c r="AG5" s="49"/>
      <c r="AH5" s="49"/>
      <c r="AI5" s="49"/>
      <c r="AJ5" s="49"/>
      <c r="AK5" s="49"/>
      <c r="AL5" s="49"/>
      <c r="AM5" s="49"/>
      <c r="AN5" s="49"/>
      <c r="AO5" s="49"/>
      <c r="AP5" s="49"/>
      <c r="AQ5" s="49"/>
      <c r="AR5" s="49"/>
      <c r="AS5" s="49"/>
      <c r="AT5" s="49"/>
      <c r="AU5" s="49"/>
      <c r="AV5" s="49"/>
      <c r="AW5" s="49"/>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row>
    <row r="6" spans="1:214" s="2" customFormat="1" ht="12.95" customHeight="1">
      <c r="A6" s="91"/>
      <c r="B6" s="92"/>
      <c r="D6" s="92"/>
      <c r="E6" s="92"/>
      <c r="F6" s="92"/>
      <c r="G6" s="92"/>
      <c r="H6" s="92"/>
      <c r="I6" s="92"/>
      <c r="J6" s="93"/>
      <c r="K6" s="93"/>
      <c r="L6" s="93"/>
      <c r="M6" s="94"/>
      <c r="N6" s="49"/>
      <c r="O6" s="49"/>
      <c r="P6" s="49"/>
      <c r="Q6" s="49"/>
      <c r="R6" s="49"/>
      <c r="AC6" s="49"/>
      <c r="AD6" s="49"/>
      <c r="AE6" s="49"/>
      <c r="AF6" s="49"/>
      <c r="AG6" s="49"/>
      <c r="AH6" s="49"/>
      <c r="AI6" s="49"/>
      <c r="AJ6" s="49"/>
      <c r="AK6" s="49"/>
      <c r="AL6" s="49"/>
      <c r="AM6" s="49"/>
      <c r="AN6" s="49"/>
      <c r="AO6" s="49"/>
      <c r="AP6" s="49"/>
      <c r="AQ6" s="49"/>
      <c r="AR6" s="49"/>
      <c r="AS6" s="49"/>
      <c r="AT6" s="49"/>
      <c r="AU6" s="49"/>
      <c r="AV6" s="49"/>
      <c r="AW6" s="49"/>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row>
    <row r="7" spans="1:214" s="2" customFormat="1" ht="12.95" customHeight="1">
      <c r="A7" s="95"/>
      <c r="B7" s="95"/>
      <c r="C7" s="95"/>
      <c r="D7" s="95"/>
      <c r="E7" s="95"/>
      <c r="F7" s="96"/>
      <c r="G7" s="96"/>
      <c r="H7" s="95"/>
      <c r="I7" s="95"/>
      <c r="J7" s="95"/>
      <c r="K7" s="95"/>
      <c r="L7" s="95"/>
      <c r="M7" s="95"/>
      <c r="N7" s="45"/>
      <c r="O7" s="45"/>
      <c r="P7" s="45"/>
      <c r="Q7" s="45"/>
      <c r="R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5"/>
      <c r="DK7" s="45"/>
      <c r="DL7" s="45"/>
      <c r="DM7" s="45"/>
      <c r="DN7" s="45"/>
      <c r="DO7" s="45"/>
      <c r="DP7" s="45"/>
      <c r="DQ7" s="45"/>
      <c r="DR7" s="45"/>
      <c r="DS7" s="45"/>
      <c r="DT7" s="45"/>
      <c r="DU7" s="45"/>
      <c r="DV7" s="45"/>
      <c r="DW7" s="45"/>
      <c r="DX7" s="45"/>
      <c r="DY7" s="45"/>
      <c r="DZ7" s="45"/>
      <c r="EA7" s="45"/>
      <c r="EB7" s="45"/>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row>
    <row r="8" spans="1:214" s="2" customFormat="1" ht="21" customHeight="1">
      <c r="A8" s="97" t="s">
        <v>274</v>
      </c>
      <c r="B8" s="95"/>
      <c r="C8" s="95"/>
      <c r="D8" s="95"/>
      <c r="E8" s="95"/>
      <c r="F8" s="96"/>
      <c r="G8" s="96"/>
      <c r="H8" s="95"/>
      <c r="I8" s="95"/>
      <c r="J8" s="95"/>
      <c r="K8" s="95"/>
      <c r="L8" s="95"/>
      <c r="M8" s="95"/>
      <c r="N8" s="45"/>
      <c r="O8" s="45"/>
      <c r="P8" s="45"/>
      <c r="Q8" s="45"/>
      <c r="R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5"/>
      <c r="DK8" s="45"/>
      <c r="DL8" s="45"/>
      <c r="DM8" s="45"/>
      <c r="DN8" s="45"/>
      <c r="DO8" s="45"/>
      <c r="DP8" s="45"/>
      <c r="DQ8" s="45"/>
      <c r="DR8" s="45"/>
      <c r="DS8" s="45"/>
      <c r="DT8" s="45"/>
      <c r="DU8" s="45"/>
      <c r="DV8" s="45"/>
      <c r="DW8" s="45"/>
      <c r="DX8" s="45"/>
      <c r="DY8" s="45"/>
      <c r="DZ8" s="45"/>
      <c r="EA8" s="45"/>
      <c r="EB8" s="45"/>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row>
    <row r="9" spans="1:214" s="2" customFormat="1" ht="18" customHeight="1">
      <c r="A9" s="24"/>
      <c r="B9" s="95"/>
      <c r="C9" s="95"/>
      <c r="D9" s="95"/>
      <c r="E9" s="95"/>
      <c r="F9" s="96"/>
      <c r="G9" s="96"/>
      <c r="H9" s="95"/>
      <c r="I9" s="95"/>
      <c r="J9" s="95"/>
      <c r="K9" s="95"/>
      <c r="L9" s="95"/>
      <c r="M9" s="95"/>
      <c r="N9" s="45"/>
      <c r="O9" s="45"/>
      <c r="P9" s="45"/>
      <c r="Q9" s="45"/>
      <c r="R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5"/>
      <c r="DK9" s="45"/>
      <c r="DL9" s="45"/>
      <c r="DM9" s="45"/>
      <c r="DN9" s="45"/>
      <c r="DO9" s="45"/>
      <c r="DP9" s="45"/>
      <c r="DQ9" s="45"/>
      <c r="DR9" s="45"/>
      <c r="DS9" s="45"/>
      <c r="DT9" s="45"/>
      <c r="DU9" s="45"/>
      <c r="DV9" s="45"/>
      <c r="DW9" s="45"/>
      <c r="DX9" s="45"/>
      <c r="DY9" s="45"/>
      <c r="DZ9" s="45"/>
      <c r="EA9" s="45"/>
      <c r="EB9" s="45"/>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row>
    <row r="10" spans="1:214" s="2" customFormat="1" ht="12.95" customHeight="1">
      <c r="A10" s="110"/>
      <c r="B10" s="95"/>
      <c r="C10" s="95"/>
      <c r="D10" s="95"/>
      <c r="E10" s="95"/>
      <c r="F10" s="96"/>
      <c r="G10" s="96"/>
      <c r="H10" s="95"/>
      <c r="I10" s="95"/>
      <c r="J10" s="95"/>
      <c r="K10" s="95"/>
      <c r="L10" s="95"/>
      <c r="M10" s="95"/>
      <c r="N10" s="45"/>
      <c r="O10" s="45"/>
      <c r="P10" s="45"/>
      <c r="Q10" s="45"/>
      <c r="R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row>
    <row r="11" spans="1:214" s="2" customFormat="1" ht="18" customHeight="1" thickBot="1">
      <c r="A11" s="45" t="s">
        <v>10</v>
      </c>
      <c r="B11" s="95"/>
      <c r="C11" s="95"/>
      <c r="D11" s="95"/>
      <c r="E11" s="95"/>
      <c r="F11" s="96"/>
      <c r="G11" s="96"/>
      <c r="H11" s="95"/>
      <c r="I11" s="95"/>
      <c r="J11" s="95"/>
      <c r="K11" s="95"/>
      <c r="L11" s="95"/>
      <c r="M11" s="195">
        <f>M1</f>
        <v>2016</v>
      </c>
      <c r="N11" s="45"/>
      <c r="O11" s="45"/>
      <c r="P11" s="45"/>
      <c r="Q11" s="45"/>
      <c r="R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row>
    <row r="12" spans="1:214" s="2" customFormat="1" ht="33" customHeight="1">
      <c r="A12" s="227" t="s">
        <v>414</v>
      </c>
      <c r="B12" s="227"/>
      <c r="C12" s="111"/>
      <c r="D12" s="112"/>
      <c r="E12" s="112"/>
      <c r="F12" s="242"/>
      <c r="G12" s="242"/>
      <c r="H12" s="242"/>
      <c r="I12" s="242"/>
      <c r="J12" s="242"/>
      <c r="K12" s="242"/>
      <c r="L12" s="242"/>
      <c r="M12" s="242"/>
      <c r="N12" s="45"/>
      <c r="O12" s="45"/>
      <c r="P12" s="45"/>
      <c r="Q12" s="45"/>
      <c r="R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row>
    <row r="13" spans="1:214" s="2" customFormat="1" ht="18" customHeight="1">
      <c r="A13" s="113"/>
      <c r="B13" s="113"/>
      <c r="C13" s="237" t="s">
        <v>188</v>
      </c>
      <c r="D13" s="238"/>
      <c r="E13" s="239"/>
      <c r="F13" s="237" t="s">
        <v>189</v>
      </c>
      <c r="G13" s="238"/>
      <c r="H13" s="238"/>
      <c r="I13" s="238"/>
      <c r="J13" s="238"/>
      <c r="K13" s="238"/>
      <c r="L13" s="238"/>
      <c r="M13" s="239"/>
      <c r="N13" s="45"/>
      <c r="O13" s="45"/>
      <c r="P13" s="45"/>
      <c r="Q13" s="45"/>
      <c r="R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c r="DJ13" s="45"/>
      <c r="DK13" s="45"/>
      <c r="DL13" s="45"/>
      <c r="DM13" s="45"/>
      <c r="DN13" s="45"/>
      <c r="DO13" s="45"/>
      <c r="DP13" s="45"/>
      <c r="DQ13" s="45"/>
      <c r="DR13" s="45"/>
      <c r="DS13" s="45"/>
      <c r="DT13" s="45"/>
      <c r="DU13" s="45"/>
      <c r="DV13" s="45"/>
      <c r="DW13" s="45"/>
      <c r="DX13" s="45"/>
      <c r="DY13" s="45"/>
      <c r="DZ13" s="45"/>
      <c r="EA13" s="45"/>
      <c r="EB13" s="45"/>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row>
    <row r="14" spans="6:214" s="2" customFormat="1" ht="18" customHeight="1">
      <c r="F14" s="130" t="s">
        <v>441</v>
      </c>
      <c r="G14" s="130" t="s">
        <v>442</v>
      </c>
      <c r="L14" s="130" t="s">
        <v>442</v>
      </c>
      <c r="M14" s="130" t="s">
        <v>443</v>
      </c>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c r="DJ14" s="45"/>
      <c r="DK14" s="45"/>
      <c r="DL14" s="45"/>
      <c r="DM14" s="45"/>
      <c r="DN14" s="45"/>
      <c r="DO14" s="45"/>
      <c r="DP14" s="45"/>
      <c r="DQ14" s="45"/>
      <c r="DR14" s="45"/>
      <c r="DS14" s="45"/>
      <c r="DT14" s="45"/>
      <c r="DU14" s="45"/>
      <c r="DV14" s="45"/>
      <c r="DW14" s="45"/>
      <c r="DX14" s="45"/>
      <c r="DY14" s="45"/>
      <c r="DZ14" s="45"/>
      <c r="EA14" s="45"/>
      <c r="EB14" s="45"/>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row>
    <row r="15" spans="1:214" s="2" customFormat="1" ht="18" customHeight="1">
      <c r="A15" s="192" t="s">
        <v>190</v>
      </c>
      <c r="B15" s="192"/>
      <c r="C15" s="114" t="s">
        <v>191</v>
      </c>
      <c r="D15" s="114" t="s">
        <v>192</v>
      </c>
      <c r="E15" s="114" t="s">
        <v>193</v>
      </c>
      <c r="F15" s="114" t="s">
        <v>444</v>
      </c>
      <c r="G15" s="114" t="s">
        <v>445</v>
      </c>
      <c r="H15" s="114" t="s">
        <v>194</v>
      </c>
      <c r="I15" s="114" t="s">
        <v>195</v>
      </c>
      <c r="J15" s="114" t="s">
        <v>196</v>
      </c>
      <c r="K15" s="114" t="s">
        <v>197</v>
      </c>
      <c r="L15" s="114" t="s">
        <v>198</v>
      </c>
      <c r="M15" s="114" t="s">
        <v>446</v>
      </c>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c r="DJ15" s="45"/>
      <c r="DK15" s="45"/>
      <c r="DL15" s="45"/>
      <c r="DM15" s="45"/>
      <c r="DN15" s="45"/>
      <c r="DO15" s="45"/>
      <c r="DP15" s="45"/>
      <c r="DQ15" s="45"/>
      <c r="DR15" s="45"/>
      <c r="DS15" s="45"/>
      <c r="DT15" s="45"/>
      <c r="DU15" s="45"/>
      <c r="DV15" s="45"/>
      <c r="DW15" s="45"/>
      <c r="DX15" s="45"/>
      <c r="DY15" s="45"/>
      <c r="DZ15" s="45"/>
      <c r="EA15" s="45"/>
      <c r="EB15" s="45"/>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row>
    <row r="16" spans="1:132" s="2" customFormat="1" ht="18" customHeight="1">
      <c r="A16" s="115" t="s">
        <v>199</v>
      </c>
      <c r="B16" s="31" t="s">
        <v>200</v>
      </c>
      <c r="C16" s="116">
        <f aca="true" t="shared" si="0" ref="C16:G23">C91+C121</f>
        <v>628253416.64</v>
      </c>
      <c r="D16" s="116">
        <f t="shared" si="0"/>
        <v>21655714.77</v>
      </c>
      <c r="E16" s="116">
        <f t="shared" si="0"/>
        <v>649909131.4100001</v>
      </c>
      <c r="F16" s="116">
        <f t="shared" si="0"/>
        <v>511376515.23</v>
      </c>
      <c r="G16" s="116">
        <f t="shared" si="0"/>
        <v>630589484.19</v>
      </c>
      <c r="H16" s="118">
        <f aca="true" t="shared" si="1" ref="H16:H24">IF($G$24=0,"    --",G16/$G$24*100)</f>
        <v>59.54288376771155</v>
      </c>
      <c r="I16" s="118">
        <f aca="true" t="shared" si="2" ref="I16:I24">IF(G16=0,"    --",IF(E16=0,"    --",G16/E16*100))</f>
        <v>97.0273310088619</v>
      </c>
      <c r="J16" s="116">
        <f aca="true" t="shared" si="3" ref="J16:J23">I91+I121</f>
        <v>616419365.17</v>
      </c>
      <c r="K16" s="118">
        <f aca="true" t="shared" si="4" ref="K16:K24">IF(G16=0,"    --",J16/G16*100)</f>
        <v>97.75287736708744</v>
      </c>
      <c r="L16" s="116">
        <f aca="true" t="shared" si="5" ref="L16:L23">J91+J121</f>
        <v>14170119.019999996</v>
      </c>
      <c r="M16" s="116">
        <f aca="true" t="shared" si="6" ref="M16:M23">H91+H121</f>
        <v>19319647.220000014</v>
      </c>
      <c r="N16" s="45"/>
      <c r="O16" s="45"/>
      <c r="P16" s="45"/>
      <c r="Q16" s="45"/>
      <c r="R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c r="DJ16" s="45"/>
      <c r="DK16" s="45"/>
      <c r="DL16" s="45"/>
      <c r="DM16" s="45"/>
      <c r="DN16" s="45"/>
      <c r="DO16" s="45"/>
      <c r="DP16" s="45"/>
      <c r="DQ16" s="45"/>
      <c r="DR16" s="45"/>
      <c r="DS16" s="45"/>
      <c r="DT16" s="45"/>
      <c r="DU16" s="45"/>
      <c r="DV16" s="45"/>
      <c r="DW16" s="45"/>
      <c r="DX16" s="45"/>
      <c r="DY16" s="45"/>
      <c r="DZ16" s="45"/>
      <c r="EA16" s="45"/>
      <c r="EB16" s="45"/>
    </row>
    <row r="17" spans="1:132" s="2" customFormat="1" ht="18" customHeight="1">
      <c r="A17" s="115" t="s">
        <v>201</v>
      </c>
      <c r="B17" s="31" t="s">
        <v>202</v>
      </c>
      <c r="C17" s="116">
        <f t="shared" si="0"/>
        <v>169997586.93</v>
      </c>
      <c r="D17" s="116">
        <f t="shared" si="0"/>
        <v>53518232.150000006</v>
      </c>
      <c r="E17" s="116">
        <f t="shared" si="0"/>
        <v>223515819.07999998</v>
      </c>
      <c r="F17" s="116">
        <f t="shared" si="0"/>
        <v>145542462.88</v>
      </c>
      <c r="G17" s="116">
        <f t="shared" si="0"/>
        <v>170413100.17000002</v>
      </c>
      <c r="H17" s="118">
        <f t="shared" si="1"/>
        <v>16.091114219818458</v>
      </c>
      <c r="I17" s="118">
        <f t="shared" si="2"/>
        <v>76.24207578301487</v>
      </c>
      <c r="J17" s="116">
        <f t="shared" si="3"/>
        <v>157809579.29000002</v>
      </c>
      <c r="K17" s="118">
        <f t="shared" si="4"/>
        <v>92.6041361447993</v>
      </c>
      <c r="L17" s="116">
        <f t="shared" si="5"/>
        <v>12603520.879999999</v>
      </c>
      <c r="M17" s="116">
        <f t="shared" si="6"/>
        <v>53102718.910000004</v>
      </c>
      <c r="N17" s="45"/>
      <c r="O17" s="45"/>
      <c r="P17" s="45"/>
      <c r="Q17" s="45"/>
      <c r="R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c r="DJ17" s="45"/>
      <c r="DK17" s="45"/>
      <c r="DL17" s="45"/>
      <c r="DM17" s="45"/>
      <c r="DN17" s="45"/>
      <c r="DO17" s="45"/>
      <c r="DP17" s="45"/>
      <c r="DQ17" s="45"/>
      <c r="DR17" s="45"/>
      <c r="DS17" s="45"/>
      <c r="DT17" s="45"/>
      <c r="DU17" s="45"/>
      <c r="DV17" s="45"/>
      <c r="DW17" s="45"/>
      <c r="DX17" s="45"/>
      <c r="DY17" s="45"/>
      <c r="DZ17" s="45"/>
      <c r="EA17" s="45"/>
      <c r="EB17" s="45"/>
    </row>
    <row r="18" spans="1:132" s="2" customFormat="1" ht="18" customHeight="1">
      <c r="A18" s="115" t="s">
        <v>203</v>
      </c>
      <c r="B18" s="31" t="s">
        <v>204</v>
      </c>
      <c r="C18" s="116">
        <f t="shared" si="0"/>
        <v>16503509.76</v>
      </c>
      <c r="D18" s="116">
        <f t="shared" si="0"/>
        <v>844261.1200000001</v>
      </c>
      <c r="E18" s="116">
        <f t="shared" si="0"/>
        <v>17347770.88</v>
      </c>
      <c r="F18" s="116">
        <f t="shared" si="0"/>
        <v>11749564.620000001</v>
      </c>
      <c r="G18" s="116">
        <f t="shared" si="0"/>
        <v>15915525.030000001</v>
      </c>
      <c r="H18" s="118">
        <f t="shared" si="1"/>
        <v>1.502810117711795</v>
      </c>
      <c r="I18" s="118">
        <f t="shared" si="2"/>
        <v>91.74391995428522</v>
      </c>
      <c r="J18" s="116">
        <f t="shared" si="3"/>
        <v>15912425.110000001</v>
      </c>
      <c r="K18" s="118">
        <f t="shared" si="4"/>
        <v>99.9805226657986</v>
      </c>
      <c r="L18" s="116">
        <f t="shared" si="5"/>
        <v>3099.9199999999255</v>
      </c>
      <c r="M18" s="116">
        <f t="shared" si="6"/>
        <v>1432245.8499999992</v>
      </c>
      <c r="N18" s="45"/>
      <c r="O18" s="45"/>
      <c r="P18" s="45"/>
      <c r="Q18" s="45"/>
      <c r="R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c r="DJ18" s="45"/>
      <c r="DK18" s="45"/>
      <c r="DL18" s="45"/>
      <c r="DM18" s="45"/>
      <c r="DN18" s="45"/>
      <c r="DO18" s="45"/>
      <c r="DP18" s="45"/>
      <c r="DQ18" s="45"/>
      <c r="DR18" s="45"/>
      <c r="DS18" s="45"/>
      <c r="DT18" s="45"/>
      <c r="DU18" s="45"/>
      <c r="DV18" s="45"/>
      <c r="DW18" s="45"/>
      <c r="DX18" s="45"/>
      <c r="DY18" s="45"/>
      <c r="DZ18" s="45"/>
      <c r="EA18" s="45"/>
      <c r="EB18" s="45"/>
    </row>
    <row r="19" spans="1:132" s="2" customFormat="1" ht="18" customHeight="1">
      <c r="A19" s="115" t="s">
        <v>205</v>
      </c>
      <c r="B19" s="31" t="s">
        <v>206</v>
      </c>
      <c r="C19" s="116">
        <f t="shared" si="0"/>
        <v>22868208.3</v>
      </c>
      <c r="D19" s="116">
        <f t="shared" si="0"/>
        <v>20877464.990000002</v>
      </c>
      <c r="E19" s="116">
        <f t="shared" si="0"/>
        <v>43745673.29</v>
      </c>
      <c r="F19" s="116">
        <f t="shared" si="0"/>
        <v>23056921.68</v>
      </c>
      <c r="G19" s="116">
        <f t="shared" si="0"/>
        <v>26041752.74</v>
      </c>
      <c r="H19" s="118">
        <f t="shared" si="1"/>
        <v>2.458970685971825</v>
      </c>
      <c r="I19" s="118">
        <f t="shared" si="2"/>
        <v>59.529893544815984</v>
      </c>
      <c r="J19" s="116">
        <f t="shared" si="3"/>
        <v>25503834.05</v>
      </c>
      <c r="K19" s="118">
        <f t="shared" si="4"/>
        <v>97.9343990576573</v>
      </c>
      <c r="L19" s="116">
        <f t="shared" si="5"/>
        <v>537918.6899999995</v>
      </c>
      <c r="M19" s="116">
        <f t="shared" si="6"/>
        <v>17703920.55</v>
      </c>
      <c r="N19" s="45"/>
      <c r="O19" s="45"/>
      <c r="P19" s="45"/>
      <c r="Q19" s="45"/>
      <c r="R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c r="DJ19" s="45"/>
      <c r="DK19" s="45"/>
      <c r="DL19" s="45"/>
      <c r="DM19" s="45"/>
      <c r="DN19" s="45"/>
      <c r="DO19" s="45"/>
      <c r="DP19" s="45"/>
      <c r="DQ19" s="45"/>
      <c r="DR19" s="45"/>
      <c r="DS19" s="45"/>
      <c r="DT19" s="45"/>
      <c r="DU19" s="45"/>
      <c r="DV19" s="45"/>
      <c r="DW19" s="45"/>
      <c r="DX19" s="45"/>
      <c r="DY19" s="45"/>
      <c r="DZ19" s="45"/>
      <c r="EA19" s="45"/>
      <c r="EB19" s="45"/>
    </row>
    <row r="20" spans="1:132" s="2" customFormat="1" ht="18" customHeight="1">
      <c r="A20" s="115" t="s">
        <v>207</v>
      </c>
      <c r="B20" s="31" t="s">
        <v>208</v>
      </c>
      <c r="C20" s="116">
        <f t="shared" si="0"/>
        <v>174829889.07</v>
      </c>
      <c r="D20" s="116">
        <f t="shared" si="0"/>
        <v>204907031.99</v>
      </c>
      <c r="E20" s="116">
        <f t="shared" si="0"/>
        <v>379736921.06000006</v>
      </c>
      <c r="F20" s="116">
        <f t="shared" si="0"/>
        <v>177335024.97999996</v>
      </c>
      <c r="G20" s="116">
        <f t="shared" si="0"/>
        <v>194051500.26</v>
      </c>
      <c r="H20" s="118">
        <f t="shared" si="1"/>
        <v>18.32315034522496</v>
      </c>
      <c r="I20" s="118">
        <f t="shared" si="2"/>
        <v>51.101562555024515</v>
      </c>
      <c r="J20" s="116">
        <f t="shared" si="3"/>
        <v>185849231.10000002</v>
      </c>
      <c r="K20" s="118">
        <f t="shared" si="4"/>
        <v>95.77314828846458</v>
      </c>
      <c r="L20" s="116">
        <f t="shared" si="5"/>
        <v>8202269.159999987</v>
      </c>
      <c r="M20" s="116">
        <f t="shared" si="6"/>
        <v>185685420.8</v>
      </c>
      <c r="N20" s="45"/>
      <c r="O20" s="45"/>
      <c r="P20" s="45"/>
      <c r="Q20" s="45"/>
      <c r="R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c r="DJ20" s="45"/>
      <c r="DK20" s="45"/>
      <c r="DL20" s="45"/>
      <c r="DM20" s="45"/>
      <c r="DN20" s="45"/>
      <c r="DO20" s="45"/>
      <c r="DP20" s="45"/>
      <c r="DQ20" s="45"/>
      <c r="DR20" s="45"/>
      <c r="DS20" s="45"/>
      <c r="DT20" s="45"/>
      <c r="DU20" s="45"/>
      <c r="DV20" s="45"/>
      <c r="DW20" s="45"/>
      <c r="DX20" s="45"/>
      <c r="DY20" s="45"/>
      <c r="DZ20" s="45"/>
      <c r="EA20" s="45"/>
      <c r="EB20" s="45"/>
    </row>
    <row r="21" spans="1:132" s="2" customFormat="1" ht="18" customHeight="1">
      <c r="A21" s="115" t="s">
        <v>209</v>
      </c>
      <c r="B21" s="31" t="s">
        <v>210</v>
      </c>
      <c r="C21" s="116">
        <f t="shared" si="0"/>
        <v>4732055.48</v>
      </c>
      <c r="D21" s="116">
        <f t="shared" si="0"/>
        <v>1821474.7600000002</v>
      </c>
      <c r="E21" s="116">
        <f t="shared" si="0"/>
        <v>6553530.24</v>
      </c>
      <c r="F21" s="116">
        <f t="shared" si="0"/>
        <v>2504396.6199999996</v>
      </c>
      <c r="G21" s="116">
        <f t="shared" si="0"/>
        <v>2661993.0999999996</v>
      </c>
      <c r="H21" s="118">
        <f t="shared" si="1"/>
        <v>0.2513564683802948</v>
      </c>
      <c r="I21" s="118">
        <f t="shared" si="2"/>
        <v>40.61922357132512</v>
      </c>
      <c r="J21" s="116">
        <f t="shared" si="3"/>
        <v>2224604.99</v>
      </c>
      <c r="K21" s="118">
        <f t="shared" si="4"/>
        <v>83.56914937157427</v>
      </c>
      <c r="L21" s="116">
        <f t="shared" si="5"/>
        <v>437388.10999999975</v>
      </c>
      <c r="M21" s="116">
        <f t="shared" si="6"/>
        <v>3891537.14</v>
      </c>
      <c r="N21" s="45"/>
      <c r="O21" s="45"/>
      <c r="P21" s="45"/>
      <c r="Q21" s="45"/>
      <c r="R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c r="DJ21" s="45"/>
      <c r="DK21" s="45"/>
      <c r="DL21" s="45"/>
      <c r="DM21" s="45"/>
      <c r="DN21" s="45"/>
      <c r="DO21" s="45"/>
      <c r="DP21" s="45"/>
      <c r="DQ21" s="45"/>
      <c r="DR21" s="45"/>
      <c r="DS21" s="45"/>
      <c r="DT21" s="45"/>
      <c r="DU21" s="45"/>
      <c r="DV21" s="45"/>
      <c r="DW21" s="45"/>
      <c r="DX21" s="45"/>
      <c r="DY21" s="45"/>
      <c r="DZ21" s="45"/>
      <c r="EA21" s="45"/>
      <c r="EB21" s="45"/>
    </row>
    <row r="22" spans="1:132" s="2" customFormat="1" ht="18" customHeight="1">
      <c r="A22" s="115" t="s">
        <v>211</v>
      </c>
      <c r="B22" s="31" t="s">
        <v>212</v>
      </c>
      <c r="C22" s="116">
        <f t="shared" si="0"/>
        <v>57813.66</v>
      </c>
      <c r="D22" s="116">
        <f t="shared" si="0"/>
        <v>99348</v>
      </c>
      <c r="E22" s="116">
        <f t="shared" si="0"/>
        <v>157161.66</v>
      </c>
      <c r="F22" s="116">
        <f t="shared" si="0"/>
        <v>138790</v>
      </c>
      <c r="G22" s="116">
        <f t="shared" si="0"/>
        <v>138790</v>
      </c>
      <c r="H22" s="118">
        <f t="shared" si="1"/>
        <v>0.013105129478547905</v>
      </c>
      <c r="I22" s="118">
        <f t="shared" si="2"/>
        <v>88.31034235703542</v>
      </c>
      <c r="J22" s="116">
        <f t="shared" si="3"/>
        <v>138790</v>
      </c>
      <c r="K22" s="118">
        <f t="shared" si="4"/>
        <v>100</v>
      </c>
      <c r="L22" s="116">
        <f t="shared" si="5"/>
        <v>0</v>
      </c>
      <c r="M22" s="116">
        <f t="shared" si="6"/>
        <v>18371.660000000003</v>
      </c>
      <c r="N22" s="45"/>
      <c r="O22" s="45"/>
      <c r="P22" s="45"/>
      <c r="Q22" s="45"/>
      <c r="R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c r="DJ22" s="45"/>
      <c r="DK22" s="45"/>
      <c r="DL22" s="45"/>
      <c r="DM22" s="45"/>
      <c r="DN22" s="45"/>
      <c r="DO22" s="45"/>
      <c r="DP22" s="45"/>
      <c r="DQ22" s="45"/>
      <c r="DR22" s="45"/>
      <c r="DS22" s="45"/>
      <c r="DT22" s="45"/>
      <c r="DU22" s="45"/>
      <c r="DV22" s="45"/>
      <c r="DW22" s="45"/>
      <c r="DX22" s="45"/>
      <c r="DY22" s="45"/>
      <c r="DZ22" s="45"/>
      <c r="EA22" s="45"/>
      <c r="EB22" s="45"/>
    </row>
    <row r="23" spans="1:132" s="2" customFormat="1" ht="18" customHeight="1">
      <c r="A23" s="115" t="s">
        <v>213</v>
      </c>
      <c r="B23" s="31" t="s">
        <v>214</v>
      </c>
      <c r="C23" s="116">
        <f t="shared" si="0"/>
        <v>16669644.779999997</v>
      </c>
      <c r="D23" s="116">
        <f t="shared" si="0"/>
        <v>2573898.68</v>
      </c>
      <c r="E23" s="116">
        <f t="shared" si="0"/>
        <v>19243543.459999997</v>
      </c>
      <c r="F23" s="116">
        <f t="shared" si="0"/>
        <v>19223468.06</v>
      </c>
      <c r="G23" s="116">
        <f t="shared" si="0"/>
        <v>19238817.93</v>
      </c>
      <c r="H23" s="118">
        <f t="shared" si="1"/>
        <v>1.8166092657025648</v>
      </c>
      <c r="I23" s="118">
        <f t="shared" si="2"/>
        <v>99.97544355586163</v>
      </c>
      <c r="J23" s="116">
        <f t="shared" si="3"/>
        <v>19238817.93</v>
      </c>
      <c r="K23" s="118">
        <f t="shared" si="4"/>
        <v>100</v>
      </c>
      <c r="L23" s="116">
        <f t="shared" si="5"/>
        <v>0</v>
      </c>
      <c r="M23" s="116">
        <f t="shared" si="6"/>
        <v>4725.529999999329</v>
      </c>
      <c r="N23" s="45"/>
      <c r="O23" s="45"/>
      <c r="P23" s="45"/>
      <c r="Q23" s="45"/>
      <c r="R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c r="DJ23" s="45"/>
      <c r="DK23" s="45"/>
      <c r="DL23" s="45"/>
      <c r="DM23" s="45"/>
      <c r="DN23" s="45"/>
      <c r="DO23" s="45"/>
      <c r="DP23" s="45"/>
      <c r="DQ23" s="45"/>
      <c r="DR23" s="45"/>
      <c r="DS23" s="45"/>
      <c r="DT23" s="45"/>
      <c r="DU23" s="45"/>
      <c r="DV23" s="45"/>
      <c r="DW23" s="45"/>
      <c r="DX23" s="45"/>
      <c r="DY23" s="45"/>
      <c r="DZ23" s="45"/>
      <c r="EA23" s="45"/>
      <c r="EB23" s="45"/>
    </row>
    <row r="24" spans="1:132" s="2" customFormat="1" ht="18" customHeight="1" thickBot="1">
      <c r="A24" s="243" t="s">
        <v>215</v>
      </c>
      <c r="B24" s="243"/>
      <c r="C24" s="119">
        <f>SUM(C16:C23)</f>
        <v>1033912124.6199998</v>
      </c>
      <c r="D24" s="119">
        <f>SUM(D16:D23)</f>
        <v>306297426.46</v>
      </c>
      <c r="E24" s="119">
        <f>SUM(E16:E23)</f>
        <v>1340209551.0800002</v>
      </c>
      <c r="F24" s="119">
        <f>SUM(F16:F23)</f>
        <v>890927144.0699998</v>
      </c>
      <c r="G24" s="119">
        <f>SUM(G16:G23)</f>
        <v>1059050963.4200001</v>
      </c>
      <c r="H24" s="120">
        <f t="shared" si="1"/>
        <v>100</v>
      </c>
      <c r="I24" s="120">
        <f t="shared" si="2"/>
        <v>79.02129652535082</v>
      </c>
      <c r="J24" s="119">
        <f>SUM(J16:J23)</f>
        <v>1023096647.64</v>
      </c>
      <c r="K24" s="120">
        <f t="shared" si="4"/>
        <v>96.6050438532351</v>
      </c>
      <c r="L24" s="119">
        <f>SUM(L16:L23)</f>
        <v>35954315.77999998</v>
      </c>
      <c r="M24" s="119">
        <f>SUM(M16:M23)</f>
        <v>281158587.66</v>
      </c>
      <c r="N24" s="45"/>
      <c r="O24" s="45"/>
      <c r="P24" s="45"/>
      <c r="Q24" s="45"/>
      <c r="R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row>
    <row r="25" spans="1:132" s="2" customFormat="1" ht="18" customHeight="1">
      <c r="A25" s="121" t="s">
        <v>273</v>
      </c>
      <c r="B25" s="121"/>
      <c r="C25" s="122"/>
      <c r="D25" s="122"/>
      <c r="E25" s="122"/>
      <c r="F25" s="123"/>
      <c r="G25" s="122"/>
      <c r="H25" s="124"/>
      <c r="I25" s="124"/>
      <c r="J25" s="122"/>
      <c r="K25" s="124"/>
      <c r="L25" s="124"/>
      <c r="M25" s="122"/>
      <c r="N25" s="45"/>
      <c r="O25" s="45"/>
      <c r="P25" s="45"/>
      <c r="Q25" s="45"/>
      <c r="R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row>
    <row r="26" spans="1:132" s="2" customFormat="1" ht="12.95" customHeight="1">
      <c r="A26" s="125"/>
      <c r="B26" s="125"/>
      <c r="C26" s="126"/>
      <c r="D26" s="98"/>
      <c r="E26" s="98"/>
      <c r="F26" s="98"/>
      <c r="G26" s="98"/>
      <c r="H26" s="99"/>
      <c r="I26" s="99"/>
      <c r="J26" s="98"/>
      <c r="K26" s="99"/>
      <c r="L26" s="99"/>
      <c r="M26" s="98"/>
      <c r="N26" s="45"/>
      <c r="O26" s="45"/>
      <c r="P26" s="45"/>
      <c r="Q26" s="45"/>
      <c r="R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row>
    <row r="27" spans="1:132" s="2" customFormat="1" ht="12.95" customHeight="1">
      <c r="A27" s="125"/>
      <c r="B27" s="125"/>
      <c r="C27" s="126"/>
      <c r="D27" s="126"/>
      <c r="E27" s="126"/>
      <c r="F27" s="98"/>
      <c r="G27" s="98"/>
      <c r="H27" s="99"/>
      <c r="I27" s="99"/>
      <c r="J27" s="98"/>
      <c r="K27" s="99"/>
      <c r="L27" s="99"/>
      <c r="M27" s="98"/>
      <c r="N27" s="45"/>
      <c r="O27" s="45"/>
      <c r="P27" s="45"/>
      <c r="Q27" s="45"/>
      <c r="R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row>
    <row r="28" spans="1:132" s="2" customFormat="1" ht="18" customHeight="1" thickBot="1">
      <c r="A28" s="45" t="s">
        <v>10</v>
      </c>
      <c r="B28" s="125"/>
      <c r="C28" s="126"/>
      <c r="D28" s="98"/>
      <c r="E28" s="98"/>
      <c r="F28" s="98"/>
      <c r="G28" s="98"/>
      <c r="H28" s="99"/>
      <c r="I28" s="99"/>
      <c r="J28" s="98"/>
      <c r="K28" s="99"/>
      <c r="L28" s="99"/>
      <c r="M28" s="195">
        <f>M1</f>
        <v>2016</v>
      </c>
      <c r="N28" s="45"/>
      <c r="O28" s="45"/>
      <c r="P28" s="45"/>
      <c r="Q28" s="45"/>
      <c r="R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row>
    <row r="29" spans="1:132" s="2" customFormat="1" ht="33" customHeight="1">
      <c r="A29" s="227" t="s">
        <v>413</v>
      </c>
      <c r="B29" s="227"/>
      <c r="C29" s="111"/>
      <c r="D29" s="112"/>
      <c r="E29" s="112"/>
      <c r="F29" s="242"/>
      <c r="G29" s="242"/>
      <c r="H29" s="242"/>
      <c r="I29" s="242"/>
      <c r="J29" s="242"/>
      <c r="K29" s="242"/>
      <c r="L29" s="242"/>
      <c r="M29" s="242"/>
      <c r="N29" s="45"/>
      <c r="O29" s="45"/>
      <c r="P29" s="45"/>
      <c r="Q29" s="45"/>
      <c r="R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row>
    <row r="30" spans="1:132" s="2" customFormat="1" ht="18" customHeight="1">
      <c r="A30" s="113"/>
      <c r="B30" s="113"/>
      <c r="C30" s="237" t="s">
        <v>188</v>
      </c>
      <c r="D30" s="238"/>
      <c r="E30" s="239"/>
      <c r="F30" s="193"/>
      <c r="G30" s="237" t="s">
        <v>189</v>
      </c>
      <c r="H30" s="238"/>
      <c r="I30" s="238"/>
      <c r="J30" s="238"/>
      <c r="K30" s="238"/>
      <c r="L30" s="238"/>
      <c r="M30" s="239"/>
      <c r="N30" s="45"/>
      <c r="O30" s="45"/>
      <c r="P30" s="45"/>
      <c r="Q30" s="45"/>
      <c r="R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c r="DJ30" s="45"/>
      <c r="DK30" s="45"/>
      <c r="DL30" s="45"/>
      <c r="DM30" s="45"/>
      <c r="DN30" s="45"/>
      <c r="DO30" s="45"/>
      <c r="DP30" s="45"/>
      <c r="DQ30" s="45"/>
      <c r="DR30" s="45"/>
      <c r="DS30" s="45"/>
      <c r="DT30" s="45"/>
      <c r="DU30" s="45"/>
      <c r="DV30" s="45"/>
      <c r="DW30" s="45"/>
      <c r="DX30" s="45"/>
      <c r="DY30" s="45"/>
      <c r="DZ30" s="45"/>
      <c r="EA30" s="45"/>
      <c r="EB30" s="45"/>
    </row>
    <row r="31" spans="6:132" s="2" customFormat="1" ht="18" customHeight="1">
      <c r="F31" s="130"/>
      <c r="G31" s="127" t="s">
        <v>447</v>
      </c>
      <c r="J31" s="127" t="s">
        <v>327</v>
      </c>
      <c r="K31" s="197"/>
      <c r="L31" s="127" t="s">
        <v>447</v>
      </c>
      <c r="M31" s="127" t="s">
        <v>447</v>
      </c>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c r="DJ31" s="45"/>
      <c r="DK31" s="45"/>
      <c r="DL31" s="45"/>
      <c r="DM31" s="45"/>
      <c r="DN31" s="45"/>
      <c r="DO31" s="45"/>
      <c r="DP31" s="45"/>
      <c r="DQ31" s="45"/>
      <c r="DR31" s="45"/>
      <c r="DS31" s="45"/>
      <c r="DT31" s="45"/>
      <c r="DU31" s="45"/>
      <c r="DV31" s="45"/>
      <c r="DW31" s="45"/>
      <c r="DX31" s="45"/>
      <c r="DY31" s="45"/>
      <c r="DZ31" s="45"/>
      <c r="EA31" s="45"/>
      <c r="EB31" s="45"/>
    </row>
    <row r="32" spans="1:132" s="2" customFormat="1" ht="18" customHeight="1">
      <c r="A32" s="240" t="s">
        <v>190</v>
      </c>
      <c r="B32" s="240"/>
      <c r="C32" s="114" t="s">
        <v>191</v>
      </c>
      <c r="D32" s="114" t="s">
        <v>192</v>
      </c>
      <c r="E32" s="114" t="s">
        <v>193</v>
      </c>
      <c r="F32" s="130"/>
      <c r="G32" s="114" t="s">
        <v>448</v>
      </c>
      <c r="H32" s="114" t="s">
        <v>194</v>
      </c>
      <c r="I32" s="114" t="s">
        <v>216</v>
      </c>
      <c r="J32" s="114" t="s">
        <v>449</v>
      </c>
      <c r="K32" s="114" t="s">
        <v>217</v>
      </c>
      <c r="L32" s="114" t="s">
        <v>450</v>
      </c>
      <c r="M32" s="114" t="s">
        <v>218</v>
      </c>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c r="DJ32" s="45"/>
      <c r="DK32" s="45"/>
      <c r="DL32" s="45"/>
      <c r="DM32" s="45"/>
      <c r="DN32" s="45"/>
      <c r="DO32" s="45"/>
      <c r="DP32" s="45"/>
      <c r="DQ32" s="45"/>
      <c r="DR32" s="45"/>
      <c r="DS32" s="45"/>
      <c r="DT32" s="45"/>
      <c r="DU32" s="45"/>
      <c r="DV32" s="45"/>
      <c r="DW32" s="45"/>
      <c r="DX32" s="45"/>
      <c r="DY32" s="45"/>
      <c r="DZ32" s="45"/>
      <c r="EA32" s="45"/>
      <c r="EB32" s="45"/>
    </row>
    <row r="33" spans="1:132" s="2" customFormat="1" ht="18" customHeight="1">
      <c r="A33" s="115" t="s">
        <v>199</v>
      </c>
      <c r="B33" s="31" t="s">
        <v>219</v>
      </c>
      <c r="C33" s="116">
        <f aca="true" t="shared" si="7" ref="C33:E41">C105+C135</f>
        <v>0</v>
      </c>
      <c r="D33" s="116">
        <f t="shared" si="7"/>
        <v>0</v>
      </c>
      <c r="E33" s="116">
        <f t="shared" si="7"/>
        <v>0</v>
      </c>
      <c r="F33" s="116"/>
      <c r="G33" s="116">
        <f aca="true" t="shared" si="8" ref="G33:G41">F105+F135</f>
        <v>0</v>
      </c>
      <c r="H33" s="118">
        <f aca="true" t="shared" si="9" ref="H33:H42">IF($G$42=0,"    --",G33/$G$42*100)</f>
        <v>0</v>
      </c>
      <c r="I33" s="118" t="str">
        <f aca="true" t="shared" si="10" ref="I33:I42">IF(G33=0,"    --",IF(E33=0,"    --",G33/E33*100))</f>
        <v xml:space="preserve">    --</v>
      </c>
      <c r="J33" s="116">
        <f aca="true" t="shared" si="11" ref="J33:J41">G105+G135</f>
        <v>0</v>
      </c>
      <c r="K33" s="118" t="str">
        <f aca="true" t="shared" si="12" ref="K33:K42">IF(G33=0,"     --",J33/G33*100)</f>
        <v xml:space="preserve">     --</v>
      </c>
      <c r="L33" s="116">
        <f aca="true" t="shared" si="13" ref="L33:L41">H105+H135</f>
        <v>0</v>
      </c>
      <c r="M33" s="116">
        <f aca="true" t="shared" si="14" ref="M33:M41">I105+I135</f>
        <v>0</v>
      </c>
      <c r="N33" s="45"/>
      <c r="O33" s="45"/>
      <c r="P33" s="45"/>
      <c r="Q33" s="45"/>
      <c r="R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c r="DJ33" s="45"/>
      <c r="DK33" s="45"/>
      <c r="DL33" s="45"/>
      <c r="DM33" s="45"/>
      <c r="DN33" s="45"/>
      <c r="DO33" s="45"/>
      <c r="DP33" s="45"/>
      <c r="DQ33" s="45"/>
      <c r="DR33" s="45"/>
      <c r="DS33" s="45"/>
      <c r="DT33" s="45"/>
      <c r="DU33" s="45"/>
      <c r="DV33" s="45"/>
      <c r="DW33" s="45"/>
      <c r="DX33" s="45"/>
      <c r="DY33" s="45"/>
      <c r="DZ33" s="45"/>
      <c r="EA33" s="45"/>
      <c r="EB33" s="45"/>
    </row>
    <row r="34" spans="1:132" s="2" customFormat="1" ht="18" customHeight="1">
      <c r="A34" s="115" t="s">
        <v>201</v>
      </c>
      <c r="B34" s="31" t="s">
        <v>220</v>
      </c>
      <c r="C34" s="116">
        <f t="shared" si="7"/>
        <v>0</v>
      </c>
      <c r="D34" s="116">
        <f t="shared" si="7"/>
        <v>0</v>
      </c>
      <c r="E34" s="116">
        <f t="shared" si="7"/>
        <v>0</v>
      </c>
      <c r="F34" s="116"/>
      <c r="G34" s="116">
        <f t="shared" si="8"/>
        <v>0</v>
      </c>
      <c r="H34" s="118">
        <f t="shared" si="9"/>
        <v>0</v>
      </c>
      <c r="I34" s="118" t="str">
        <f t="shared" si="10"/>
        <v xml:space="preserve">    --</v>
      </c>
      <c r="J34" s="116">
        <f t="shared" si="11"/>
        <v>0</v>
      </c>
      <c r="K34" s="118" t="str">
        <f t="shared" si="12"/>
        <v xml:space="preserve">     --</v>
      </c>
      <c r="L34" s="116">
        <f t="shared" si="13"/>
        <v>0</v>
      </c>
      <c r="M34" s="116">
        <f t="shared" si="14"/>
        <v>0</v>
      </c>
      <c r="N34" s="45"/>
      <c r="O34" s="45"/>
      <c r="P34" s="45"/>
      <c r="Q34" s="45"/>
      <c r="R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c r="DJ34" s="45"/>
      <c r="DK34" s="45"/>
      <c r="DL34" s="45"/>
      <c r="DM34" s="45"/>
      <c r="DN34" s="45"/>
      <c r="DO34" s="45"/>
      <c r="DP34" s="45"/>
      <c r="DQ34" s="45"/>
      <c r="DR34" s="45"/>
      <c r="DS34" s="45"/>
      <c r="DT34" s="45"/>
      <c r="DU34" s="45"/>
      <c r="DV34" s="45"/>
      <c r="DW34" s="45"/>
      <c r="DX34" s="45"/>
      <c r="DY34" s="45"/>
      <c r="DZ34" s="45"/>
      <c r="EA34" s="45"/>
      <c r="EB34" s="45"/>
    </row>
    <row r="35" spans="1:132" s="2" customFormat="1" ht="18" customHeight="1">
      <c r="A35" s="115" t="s">
        <v>203</v>
      </c>
      <c r="B35" s="31" t="s">
        <v>221</v>
      </c>
      <c r="C35" s="116">
        <f t="shared" si="7"/>
        <v>223396090.38000003</v>
      </c>
      <c r="D35" s="116">
        <f t="shared" si="7"/>
        <v>22927555.699999996</v>
      </c>
      <c r="E35" s="116">
        <f t="shared" si="7"/>
        <v>246323646.07999998</v>
      </c>
      <c r="F35" s="116"/>
      <c r="G35" s="116">
        <f t="shared" si="8"/>
        <v>240646956.13</v>
      </c>
      <c r="H35" s="118">
        <f t="shared" si="9"/>
        <v>21.585200678302204</v>
      </c>
      <c r="I35" s="118">
        <f t="shared" si="10"/>
        <v>97.69543442526167</v>
      </c>
      <c r="J35" s="116">
        <f t="shared" si="11"/>
        <v>205298098.21</v>
      </c>
      <c r="K35" s="118">
        <f t="shared" si="12"/>
        <v>85.3109058645628</v>
      </c>
      <c r="L35" s="116">
        <f t="shared" si="13"/>
        <v>15279471.53</v>
      </c>
      <c r="M35" s="116">
        <f t="shared" si="14"/>
        <v>35348857.92</v>
      </c>
      <c r="N35" s="45"/>
      <c r="O35" s="45"/>
      <c r="P35" s="45"/>
      <c r="Q35" s="45"/>
      <c r="R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5"/>
      <c r="DK35" s="45"/>
      <c r="DL35" s="45"/>
      <c r="DM35" s="45"/>
      <c r="DN35" s="45"/>
      <c r="DO35" s="45"/>
      <c r="DP35" s="45"/>
      <c r="DQ35" s="45"/>
      <c r="DR35" s="45"/>
      <c r="DS35" s="45"/>
      <c r="DT35" s="45"/>
      <c r="DU35" s="45"/>
      <c r="DV35" s="45"/>
      <c r="DW35" s="45"/>
      <c r="DX35" s="45"/>
      <c r="DY35" s="45"/>
      <c r="DZ35" s="45"/>
      <c r="EA35" s="45"/>
      <c r="EB35" s="45"/>
    </row>
    <row r="36" spans="1:132" s="2" customFormat="1" ht="18" customHeight="1">
      <c r="A36" s="115" t="s">
        <v>205</v>
      </c>
      <c r="B36" s="31" t="s">
        <v>206</v>
      </c>
      <c r="C36" s="116">
        <f t="shared" si="7"/>
        <v>726405519.8399999</v>
      </c>
      <c r="D36" s="116">
        <f t="shared" si="7"/>
        <v>23727326.13</v>
      </c>
      <c r="E36" s="116">
        <f t="shared" si="7"/>
        <v>750132845.97</v>
      </c>
      <c r="F36" s="116"/>
      <c r="G36" s="116">
        <f t="shared" si="8"/>
        <v>750162756.6600001</v>
      </c>
      <c r="H36" s="118">
        <f t="shared" si="9"/>
        <v>67.28700792353747</v>
      </c>
      <c r="I36" s="118">
        <f t="shared" si="10"/>
        <v>100.00398738572251</v>
      </c>
      <c r="J36" s="116">
        <f t="shared" si="11"/>
        <v>561906241.91</v>
      </c>
      <c r="K36" s="118">
        <f t="shared" si="12"/>
        <v>74.90457729624073</v>
      </c>
      <c r="L36" s="116">
        <f t="shared" si="13"/>
        <v>0</v>
      </c>
      <c r="M36" s="116">
        <f t="shared" si="14"/>
        <v>188256514.74999997</v>
      </c>
      <c r="N36" s="45"/>
      <c r="O36" s="45"/>
      <c r="P36" s="45"/>
      <c r="Q36" s="45"/>
      <c r="R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c r="BR36" s="45"/>
      <c r="BS36" s="45"/>
      <c r="BT36" s="45"/>
      <c r="BU36" s="45"/>
      <c r="BV36" s="45"/>
      <c r="BW36" s="45"/>
      <c r="BX36" s="45"/>
      <c r="BY36" s="45"/>
      <c r="BZ36" s="45"/>
      <c r="CA36" s="45"/>
      <c r="CB36" s="45"/>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row>
    <row r="37" spans="1:132" s="2" customFormat="1" ht="18" customHeight="1">
      <c r="A37" s="115" t="s">
        <v>222</v>
      </c>
      <c r="B37" s="31" t="s">
        <v>223</v>
      </c>
      <c r="C37" s="116">
        <f t="shared" si="7"/>
        <v>4245950</v>
      </c>
      <c r="D37" s="116">
        <f t="shared" si="7"/>
        <v>1052790.85</v>
      </c>
      <c r="E37" s="116">
        <f t="shared" si="7"/>
        <v>5298740.850000001</v>
      </c>
      <c r="F37" s="116"/>
      <c r="G37" s="116">
        <f t="shared" si="8"/>
        <v>4538044.85</v>
      </c>
      <c r="H37" s="118">
        <f t="shared" si="9"/>
        <v>0.4070469469037029</v>
      </c>
      <c r="I37" s="118">
        <f t="shared" si="10"/>
        <v>85.64383461025461</v>
      </c>
      <c r="J37" s="116">
        <f t="shared" si="11"/>
        <v>3656584.04</v>
      </c>
      <c r="K37" s="118">
        <f t="shared" si="12"/>
        <v>80.57619880067955</v>
      </c>
      <c r="L37" s="116">
        <f t="shared" si="13"/>
        <v>0</v>
      </c>
      <c r="M37" s="116">
        <f t="shared" si="14"/>
        <v>881460.8099999999</v>
      </c>
      <c r="N37" s="45"/>
      <c r="O37" s="45"/>
      <c r="P37" s="45"/>
      <c r="Q37" s="45"/>
      <c r="R37" s="45"/>
      <c r="AC37" s="45"/>
      <c r="AD37" s="45"/>
      <c r="AE37" s="45"/>
      <c r="AF37" s="45"/>
      <c r="AG37" s="45"/>
      <c r="AH37" s="45"/>
      <c r="AI37" s="45"/>
      <c r="AJ37" s="45"/>
      <c r="AK37" s="45"/>
      <c r="AL37" s="45"/>
      <c r="AM37" s="45"/>
      <c r="AN37" s="45"/>
      <c r="AO37" s="45"/>
      <c r="AP37" s="45"/>
      <c r="AQ37" s="45"/>
      <c r="AR37" s="45"/>
      <c r="AS37" s="45"/>
      <c r="AT37" s="45"/>
      <c r="AU37" s="45"/>
      <c r="AV37" s="45"/>
      <c r="AW37" s="45"/>
      <c r="AX37" s="45"/>
      <c r="AY37" s="45"/>
      <c r="AZ37" s="45"/>
      <c r="BA37" s="45"/>
      <c r="BB37" s="45"/>
      <c r="BC37" s="45"/>
      <c r="BD37" s="45"/>
      <c r="BE37" s="45"/>
      <c r="BF37" s="45"/>
      <c r="BG37" s="45"/>
      <c r="BH37" s="45"/>
      <c r="BI37" s="45"/>
      <c r="BJ37" s="45"/>
      <c r="BK37" s="45"/>
      <c r="BL37" s="45"/>
      <c r="BM37" s="45"/>
      <c r="BN37" s="45"/>
      <c r="BO37" s="45"/>
      <c r="BP37" s="45"/>
      <c r="BQ37" s="45"/>
      <c r="BR37" s="45"/>
      <c r="BS37" s="45"/>
      <c r="BT37" s="45"/>
      <c r="BU37" s="45"/>
      <c r="BV37" s="45"/>
      <c r="BW37" s="45"/>
      <c r="BX37" s="45"/>
      <c r="BY37" s="45"/>
      <c r="BZ37" s="45"/>
      <c r="CA37" s="45"/>
      <c r="CB37" s="45"/>
      <c r="CC37" s="45"/>
      <c r="CD37" s="45"/>
      <c r="CE37" s="45"/>
      <c r="CF37" s="45"/>
      <c r="CG37" s="45"/>
      <c r="CH37" s="45"/>
      <c r="CI37" s="45"/>
      <c r="CJ37" s="45"/>
      <c r="CK37" s="45"/>
      <c r="CL37" s="45"/>
      <c r="CM37" s="45"/>
      <c r="CN37" s="45"/>
      <c r="CO37" s="45"/>
      <c r="CP37" s="45"/>
      <c r="CQ37" s="45"/>
      <c r="CR37" s="45"/>
      <c r="CS37" s="45"/>
      <c r="CT37" s="45"/>
      <c r="CU37" s="45"/>
      <c r="CV37" s="45"/>
      <c r="CW37" s="45"/>
      <c r="CX37" s="45"/>
      <c r="CY37" s="45"/>
      <c r="CZ37" s="45"/>
      <c r="DA37" s="45"/>
      <c r="DB37" s="45"/>
      <c r="DC37" s="45"/>
      <c r="DD37" s="45"/>
      <c r="DE37" s="45"/>
      <c r="DF37" s="45"/>
      <c r="DG37" s="45"/>
      <c r="DH37" s="45"/>
      <c r="DI37" s="45"/>
      <c r="DJ37" s="45"/>
      <c r="DK37" s="45"/>
      <c r="DL37" s="45"/>
      <c r="DM37" s="45"/>
      <c r="DN37" s="45"/>
      <c r="DO37" s="45"/>
      <c r="DP37" s="45"/>
      <c r="DQ37" s="45"/>
      <c r="DR37" s="45"/>
      <c r="DS37" s="45"/>
      <c r="DT37" s="45"/>
      <c r="DU37" s="45"/>
      <c r="DV37" s="45"/>
      <c r="DW37" s="45"/>
      <c r="DX37" s="45"/>
      <c r="DY37" s="45"/>
      <c r="DZ37" s="45"/>
      <c r="EA37" s="45"/>
      <c r="EB37" s="45"/>
    </row>
    <row r="38" spans="1:132" s="2" customFormat="1" ht="18" customHeight="1">
      <c r="A38" s="115" t="s">
        <v>207</v>
      </c>
      <c r="B38" s="31" t="s">
        <v>224</v>
      </c>
      <c r="C38" s="116">
        <f t="shared" si="7"/>
        <v>0</v>
      </c>
      <c r="D38" s="116">
        <f t="shared" si="7"/>
        <v>35493.09</v>
      </c>
      <c r="E38" s="116">
        <f t="shared" si="7"/>
        <v>35493.09</v>
      </c>
      <c r="F38" s="116"/>
      <c r="G38" s="116">
        <f t="shared" si="8"/>
        <v>49782.27</v>
      </c>
      <c r="H38" s="118">
        <f t="shared" si="9"/>
        <v>0.0044652976520132455</v>
      </c>
      <c r="I38" s="118">
        <f t="shared" si="10"/>
        <v>140.25904760616785</v>
      </c>
      <c r="J38" s="116">
        <f t="shared" si="11"/>
        <v>44030.39</v>
      </c>
      <c r="K38" s="118">
        <f t="shared" si="12"/>
        <v>88.4459266321122</v>
      </c>
      <c r="L38" s="116">
        <f t="shared" si="13"/>
        <v>90.7</v>
      </c>
      <c r="M38" s="116">
        <f t="shared" si="14"/>
        <v>5751.879999999999</v>
      </c>
      <c r="N38" s="45"/>
      <c r="O38" s="45"/>
      <c r="P38" s="45"/>
      <c r="Q38" s="45"/>
      <c r="R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45"/>
      <c r="CD38" s="45"/>
      <c r="CE38" s="45"/>
      <c r="CF38" s="45"/>
      <c r="CG38" s="45"/>
      <c r="CH38" s="45"/>
      <c r="CI38" s="45"/>
      <c r="CJ38" s="45"/>
      <c r="CK38" s="45"/>
      <c r="CL38" s="45"/>
      <c r="CM38" s="45"/>
      <c r="CN38" s="45"/>
      <c r="CO38" s="45"/>
      <c r="CP38" s="45"/>
      <c r="CQ38" s="45"/>
      <c r="CR38" s="45"/>
      <c r="CS38" s="45"/>
      <c r="CT38" s="45"/>
      <c r="CU38" s="45"/>
      <c r="CV38" s="45"/>
      <c r="CW38" s="45"/>
      <c r="CX38" s="45"/>
      <c r="CY38" s="45"/>
      <c r="CZ38" s="45"/>
      <c r="DA38" s="45"/>
      <c r="DB38" s="45"/>
      <c r="DC38" s="45"/>
      <c r="DD38" s="45"/>
      <c r="DE38" s="45"/>
      <c r="DF38" s="45"/>
      <c r="DG38" s="45"/>
      <c r="DH38" s="45"/>
      <c r="DI38" s="45"/>
      <c r="DJ38" s="45"/>
      <c r="DK38" s="45"/>
      <c r="DL38" s="45"/>
      <c r="DM38" s="45"/>
      <c r="DN38" s="45"/>
      <c r="DO38" s="45"/>
      <c r="DP38" s="45"/>
      <c r="DQ38" s="45"/>
      <c r="DR38" s="45"/>
      <c r="DS38" s="45"/>
      <c r="DT38" s="45"/>
      <c r="DU38" s="45"/>
      <c r="DV38" s="45"/>
      <c r="DW38" s="45"/>
      <c r="DX38" s="45"/>
      <c r="DY38" s="45"/>
      <c r="DZ38" s="45"/>
      <c r="EA38" s="45"/>
      <c r="EB38" s="45"/>
    </row>
    <row r="39" spans="1:132" s="2" customFormat="1" ht="18" customHeight="1">
      <c r="A39" s="115" t="s">
        <v>209</v>
      </c>
      <c r="B39" s="31" t="s">
        <v>210</v>
      </c>
      <c r="C39" s="116">
        <f t="shared" si="7"/>
        <v>79864564.39999999</v>
      </c>
      <c r="D39" s="116">
        <f t="shared" si="7"/>
        <v>24379931.28</v>
      </c>
      <c r="E39" s="116">
        <f t="shared" si="7"/>
        <v>104244495.67999999</v>
      </c>
      <c r="F39" s="116"/>
      <c r="G39" s="116">
        <f t="shared" si="8"/>
        <v>105978556.3</v>
      </c>
      <c r="H39" s="118">
        <f t="shared" si="9"/>
        <v>9.505910409672833</v>
      </c>
      <c r="I39" s="118">
        <f t="shared" si="10"/>
        <v>101.66345533036399</v>
      </c>
      <c r="J39" s="116">
        <f t="shared" si="11"/>
        <v>71422743.83</v>
      </c>
      <c r="K39" s="118">
        <f t="shared" si="12"/>
        <v>67.3935806672241</v>
      </c>
      <c r="L39" s="116">
        <f t="shared" si="13"/>
        <v>0</v>
      </c>
      <c r="M39" s="116">
        <f t="shared" si="14"/>
        <v>34555812.47</v>
      </c>
      <c r="N39" s="45"/>
      <c r="O39" s="45"/>
      <c r="P39" s="45"/>
      <c r="Q39" s="45"/>
      <c r="R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row>
    <row r="40" spans="1:132" s="2" customFormat="1" ht="18" customHeight="1">
      <c r="A40" s="115" t="s">
        <v>211</v>
      </c>
      <c r="B40" s="31" t="s">
        <v>212</v>
      </c>
      <c r="C40" s="116">
        <f t="shared" si="7"/>
        <v>0</v>
      </c>
      <c r="D40" s="116">
        <f t="shared" si="7"/>
        <v>226920763.3</v>
      </c>
      <c r="E40" s="116">
        <f t="shared" si="7"/>
        <v>226920763.3</v>
      </c>
      <c r="F40" s="116"/>
      <c r="G40" s="116">
        <f t="shared" si="8"/>
        <v>151226.66999999998</v>
      </c>
      <c r="H40" s="118">
        <f t="shared" si="9"/>
        <v>0.013564509904284839</v>
      </c>
      <c r="I40" s="118">
        <f t="shared" si="10"/>
        <v>0.06664294082250691</v>
      </c>
      <c r="J40" s="116">
        <f t="shared" si="11"/>
        <v>151226.66999999998</v>
      </c>
      <c r="K40" s="118">
        <f t="shared" si="12"/>
        <v>100</v>
      </c>
      <c r="L40" s="116">
        <f t="shared" si="13"/>
        <v>0</v>
      </c>
      <c r="M40" s="116">
        <f t="shared" si="14"/>
        <v>0</v>
      </c>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45"/>
      <c r="BB40" s="45"/>
      <c r="BC40" s="45"/>
      <c r="BD40" s="45"/>
      <c r="BE40" s="45"/>
      <c r="BF40" s="45"/>
      <c r="BG40" s="45"/>
      <c r="BH40" s="45"/>
      <c r="BI40" s="45"/>
      <c r="BJ40" s="45"/>
      <c r="BK40" s="45"/>
      <c r="BL40" s="45"/>
      <c r="BM40" s="45"/>
      <c r="BN40" s="45"/>
      <c r="BO40" s="45"/>
      <c r="BP40" s="45"/>
      <c r="BQ40" s="45"/>
      <c r="BR40" s="45"/>
      <c r="BS40" s="45"/>
      <c r="BT40" s="45"/>
      <c r="BU40" s="45"/>
      <c r="BV40" s="45"/>
      <c r="BW40" s="45"/>
      <c r="BX40" s="45"/>
      <c r="BY40" s="45"/>
      <c r="BZ40" s="45"/>
      <c r="CA40" s="45"/>
      <c r="CB40" s="45"/>
      <c r="CC40" s="45"/>
      <c r="CD40" s="45"/>
      <c r="CE40" s="45"/>
      <c r="CF40" s="45"/>
      <c r="CG40" s="45"/>
      <c r="CH40" s="45"/>
      <c r="CI40" s="45"/>
      <c r="CJ40" s="45"/>
      <c r="CK40" s="45"/>
      <c r="CL40" s="45"/>
      <c r="CM40" s="45"/>
      <c r="CN40" s="45"/>
      <c r="CO40" s="45"/>
      <c r="CP40" s="45"/>
      <c r="CQ40" s="45"/>
      <c r="CR40" s="45"/>
      <c r="CS40" s="45"/>
      <c r="CT40" s="45"/>
      <c r="CU40" s="45"/>
      <c r="CV40" s="45"/>
      <c r="CW40" s="45"/>
      <c r="CX40" s="45"/>
      <c r="CY40" s="45"/>
      <c r="CZ40" s="45"/>
      <c r="DA40" s="45"/>
      <c r="DB40" s="45"/>
      <c r="DC40" s="45"/>
      <c r="DD40" s="45"/>
      <c r="DE40" s="45"/>
      <c r="DF40" s="45"/>
      <c r="DG40" s="45"/>
      <c r="DH40" s="45"/>
      <c r="DI40" s="45"/>
      <c r="DJ40" s="45"/>
      <c r="DK40" s="45"/>
      <c r="DL40" s="45"/>
      <c r="DM40" s="45"/>
      <c r="DN40" s="45"/>
      <c r="DO40" s="45"/>
      <c r="DP40" s="45"/>
      <c r="DQ40" s="45"/>
      <c r="DR40" s="45"/>
      <c r="DS40" s="45"/>
      <c r="DT40" s="45"/>
      <c r="DU40" s="45"/>
      <c r="DV40" s="45"/>
      <c r="DW40" s="45"/>
      <c r="DX40" s="45"/>
      <c r="DY40" s="45"/>
      <c r="DZ40" s="45"/>
      <c r="EA40" s="45"/>
      <c r="EB40" s="45"/>
    </row>
    <row r="41" spans="1:132" s="2" customFormat="1" ht="18" customHeight="1">
      <c r="A41" s="115" t="s">
        <v>213</v>
      </c>
      <c r="B41" s="31" t="s">
        <v>214</v>
      </c>
      <c r="C41" s="116">
        <f t="shared" si="7"/>
        <v>0</v>
      </c>
      <c r="D41" s="116">
        <f t="shared" si="7"/>
        <v>7253565.91</v>
      </c>
      <c r="E41" s="116">
        <f t="shared" si="7"/>
        <v>7253565.91</v>
      </c>
      <c r="F41" s="116"/>
      <c r="G41" s="116">
        <f t="shared" si="8"/>
        <v>13342812.990000002</v>
      </c>
      <c r="H41" s="118">
        <f t="shared" si="9"/>
        <v>1.196804234027473</v>
      </c>
      <c r="I41" s="118">
        <f t="shared" si="10"/>
        <v>183.9483249418768</v>
      </c>
      <c r="J41" s="116">
        <f t="shared" si="11"/>
        <v>13342812.990000002</v>
      </c>
      <c r="K41" s="118">
        <f t="shared" si="12"/>
        <v>100</v>
      </c>
      <c r="L41" s="116">
        <f t="shared" si="13"/>
        <v>0</v>
      </c>
      <c r="M41" s="116">
        <f t="shared" si="14"/>
        <v>0</v>
      </c>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DK41" s="45"/>
      <c r="DL41" s="45"/>
      <c r="DM41" s="45"/>
      <c r="DN41" s="45"/>
      <c r="DO41" s="45"/>
      <c r="DP41" s="45"/>
      <c r="DQ41" s="45"/>
      <c r="DR41" s="45"/>
      <c r="DS41" s="45"/>
      <c r="DT41" s="45"/>
      <c r="DU41" s="45"/>
      <c r="DV41" s="45"/>
      <c r="DW41" s="45"/>
      <c r="DX41" s="45"/>
      <c r="DY41" s="45"/>
      <c r="DZ41" s="45"/>
      <c r="EA41" s="45"/>
      <c r="EB41" s="45"/>
    </row>
    <row r="42" spans="1:132" s="2" customFormat="1" ht="18" customHeight="1" thickBot="1">
      <c r="A42" s="243" t="s">
        <v>225</v>
      </c>
      <c r="B42" s="243"/>
      <c r="C42" s="119">
        <f>SUM(C33:C41)</f>
        <v>1033912124.6199999</v>
      </c>
      <c r="D42" s="119">
        <f>SUM(D33:D41)</f>
        <v>306297426.26000005</v>
      </c>
      <c r="E42" s="119">
        <f>SUM(E33:E41)</f>
        <v>1340209550.88</v>
      </c>
      <c r="F42" s="194"/>
      <c r="G42" s="119">
        <f>SUM(G33:G41)</f>
        <v>1114870135.8700001</v>
      </c>
      <c r="H42" s="120">
        <f t="shared" si="9"/>
        <v>100</v>
      </c>
      <c r="I42" s="120">
        <f t="shared" si="10"/>
        <v>83.18625510002977</v>
      </c>
      <c r="J42" s="119">
        <f>SUM(J33:J41)</f>
        <v>855821738.04</v>
      </c>
      <c r="K42" s="120">
        <f t="shared" si="12"/>
        <v>76.76425356682022</v>
      </c>
      <c r="L42" s="119">
        <f>SUM(L33:L41)</f>
        <v>15279562.229999999</v>
      </c>
      <c r="M42" s="119">
        <f>SUM(M33:M41)</f>
        <v>259048397.82999995</v>
      </c>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c r="BS42" s="45"/>
      <c r="BT42" s="45"/>
      <c r="BU42" s="45"/>
      <c r="BV42" s="45"/>
      <c r="BW42" s="45"/>
      <c r="BX42" s="45"/>
      <c r="BY42" s="45"/>
      <c r="BZ42" s="45"/>
      <c r="CA42" s="45"/>
      <c r="CB42" s="45"/>
      <c r="CC42" s="45"/>
      <c r="CD42" s="45"/>
      <c r="CE42" s="45"/>
      <c r="CF42" s="45"/>
      <c r="CG42" s="45"/>
      <c r="CH42" s="45"/>
      <c r="CI42" s="45"/>
      <c r="CJ42" s="45"/>
      <c r="CK42" s="45"/>
      <c r="CL42" s="45"/>
      <c r="CM42" s="45"/>
      <c r="CN42" s="45"/>
      <c r="CO42" s="45"/>
      <c r="CP42" s="45"/>
      <c r="CQ42" s="45"/>
      <c r="CR42" s="45"/>
      <c r="CS42" s="45"/>
      <c r="CT42" s="45"/>
      <c r="CU42" s="45"/>
      <c r="CV42" s="45"/>
      <c r="CW42" s="45"/>
      <c r="CX42" s="45"/>
      <c r="CY42" s="45"/>
      <c r="CZ42" s="45"/>
      <c r="DA42" s="45"/>
      <c r="DB42" s="45"/>
      <c r="DC42" s="45"/>
      <c r="DD42" s="45"/>
      <c r="DE42" s="45"/>
      <c r="DF42" s="45"/>
      <c r="DG42" s="45"/>
      <c r="DH42" s="45"/>
      <c r="DI42" s="45"/>
      <c r="DJ42" s="45"/>
      <c r="DK42" s="45"/>
      <c r="DL42" s="45"/>
      <c r="DM42" s="45"/>
      <c r="DN42" s="45"/>
      <c r="DO42" s="45"/>
      <c r="DP42" s="45"/>
      <c r="DQ42" s="45"/>
      <c r="DR42" s="45"/>
      <c r="DS42" s="45"/>
      <c r="DT42" s="45"/>
      <c r="DU42" s="45"/>
      <c r="DV42" s="45"/>
      <c r="DW42" s="45"/>
      <c r="DX42" s="45"/>
      <c r="DY42" s="45"/>
      <c r="DZ42" s="45"/>
      <c r="EA42" s="45"/>
      <c r="EB42" s="45"/>
    </row>
    <row r="43" spans="1:132" s="2" customFormat="1" ht="18" customHeight="1">
      <c r="A43" s="121" t="s">
        <v>273</v>
      </c>
      <c r="B43" s="121"/>
      <c r="C43" s="122"/>
      <c r="D43" s="122"/>
      <c r="E43" s="122"/>
      <c r="F43" s="122"/>
      <c r="G43" s="122"/>
      <c r="H43" s="124"/>
      <c r="I43" s="124"/>
      <c r="J43" s="122"/>
      <c r="K43" s="124"/>
      <c r="L43" s="124"/>
      <c r="M43" s="122"/>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45"/>
      <c r="CD43" s="45"/>
      <c r="CE43" s="45"/>
      <c r="CF43" s="45"/>
      <c r="CG43" s="45"/>
      <c r="CH43" s="45"/>
      <c r="CI43" s="45"/>
      <c r="CJ43" s="45"/>
      <c r="CK43" s="45"/>
      <c r="CL43" s="45"/>
      <c r="CM43" s="45"/>
      <c r="CN43" s="45"/>
      <c r="CO43" s="45"/>
      <c r="CP43" s="45"/>
      <c r="CQ43" s="45"/>
      <c r="CR43" s="45"/>
      <c r="CS43" s="45"/>
      <c r="CT43" s="45"/>
      <c r="CU43" s="45"/>
      <c r="CV43" s="45"/>
      <c r="CW43" s="45"/>
      <c r="CX43" s="45"/>
      <c r="CY43" s="45"/>
      <c r="CZ43" s="45"/>
      <c r="DA43" s="45"/>
      <c r="DB43" s="45"/>
      <c r="DC43" s="45"/>
      <c r="DD43" s="45"/>
      <c r="DE43" s="45"/>
      <c r="DF43" s="45"/>
      <c r="DG43" s="45"/>
      <c r="DH43" s="45"/>
      <c r="DI43" s="45"/>
      <c r="DJ43" s="45"/>
      <c r="DK43" s="45"/>
      <c r="DL43" s="45"/>
      <c r="DM43" s="45"/>
      <c r="DN43" s="45"/>
      <c r="DO43" s="45"/>
      <c r="DP43" s="45"/>
      <c r="DQ43" s="45"/>
      <c r="DR43" s="45"/>
      <c r="DS43" s="45"/>
      <c r="DT43" s="45"/>
      <c r="DU43" s="45"/>
      <c r="DV43" s="45"/>
      <c r="DW43" s="45"/>
      <c r="DX43" s="45"/>
      <c r="DY43" s="45"/>
      <c r="DZ43" s="45"/>
      <c r="EA43" s="45"/>
      <c r="EB43" s="45"/>
    </row>
    <row r="44" spans="1:132" s="2" customFormat="1" ht="12.95" customHeight="1">
      <c r="A44" s="121"/>
      <c r="B44" s="121"/>
      <c r="C44" s="122"/>
      <c r="D44" s="122"/>
      <c r="E44" s="122"/>
      <c r="F44" s="122"/>
      <c r="G44" s="122"/>
      <c r="H44" s="124"/>
      <c r="I44" s="124"/>
      <c r="J44" s="122"/>
      <c r="K44" s="124"/>
      <c r="L44" s="124"/>
      <c r="M44" s="122"/>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c r="BH44" s="45"/>
      <c r="BI44" s="45"/>
      <c r="BJ44" s="45"/>
      <c r="BK44" s="45"/>
      <c r="BL44" s="45"/>
      <c r="BM44" s="45"/>
      <c r="BN44" s="45"/>
      <c r="BO44" s="45"/>
      <c r="BP44" s="45"/>
      <c r="BQ44" s="45"/>
      <c r="BR44" s="45"/>
      <c r="BS44" s="45"/>
      <c r="BT44" s="45"/>
      <c r="BU44" s="45"/>
      <c r="BV44" s="45"/>
      <c r="BW44" s="45"/>
      <c r="BX44" s="45"/>
      <c r="BY44" s="45"/>
      <c r="BZ44" s="45"/>
      <c r="CA44" s="45"/>
      <c r="CB44" s="45"/>
      <c r="CC44" s="45"/>
      <c r="CD44" s="45"/>
      <c r="CE44" s="45"/>
      <c r="CF44" s="45"/>
      <c r="CG44" s="45"/>
      <c r="CH44" s="45"/>
      <c r="CI44" s="45"/>
      <c r="CJ44" s="45"/>
      <c r="CK44" s="45"/>
      <c r="CL44" s="45"/>
      <c r="CM44" s="45"/>
      <c r="CN44" s="45"/>
      <c r="CO44" s="45"/>
      <c r="CP44" s="45"/>
      <c r="CQ44" s="45"/>
      <c r="CR44" s="45"/>
      <c r="CS44" s="45"/>
      <c r="CT44" s="45"/>
      <c r="CU44" s="45"/>
      <c r="CV44" s="45"/>
      <c r="CW44" s="45"/>
      <c r="CX44" s="45"/>
      <c r="CY44" s="45"/>
      <c r="CZ44" s="45"/>
      <c r="DA44" s="45"/>
      <c r="DB44" s="45"/>
      <c r="DC44" s="45"/>
      <c r="DD44" s="45"/>
      <c r="DE44" s="45"/>
      <c r="DF44" s="45"/>
      <c r="DG44" s="45"/>
      <c r="DH44" s="45"/>
      <c r="DI44" s="45"/>
      <c r="DJ44" s="45"/>
      <c r="DK44" s="45"/>
      <c r="DL44" s="45"/>
      <c r="DM44" s="45"/>
      <c r="DN44" s="45"/>
      <c r="DO44" s="45"/>
      <c r="DP44" s="45"/>
      <c r="DQ44" s="45"/>
      <c r="DR44" s="45"/>
      <c r="DS44" s="45"/>
      <c r="DT44" s="45"/>
      <c r="DU44" s="45"/>
      <c r="DV44" s="45"/>
      <c r="DW44" s="45"/>
      <c r="DX44" s="45"/>
      <c r="DY44" s="45"/>
      <c r="DZ44" s="45"/>
      <c r="EA44" s="45"/>
      <c r="EB44" s="45"/>
    </row>
    <row r="45" spans="1:132" s="2" customFormat="1" ht="12.95" customHeight="1">
      <c r="A45" s="121"/>
      <c r="B45" s="121"/>
      <c r="C45" s="122"/>
      <c r="D45" s="122"/>
      <c r="E45" s="122"/>
      <c r="F45" s="122"/>
      <c r="G45" s="122"/>
      <c r="H45" s="124"/>
      <c r="I45" s="124"/>
      <c r="J45" s="122"/>
      <c r="K45" s="124"/>
      <c r="L45" s="124"/>
      <c r="M45" s="122"/>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row>
    <row r="46" spans="1:132" s="2" customFormat="1" ht="18" customHeight="1" thickBot="1">
      <c r="A46" s="45" t="s">
        <v>10</v>
      </c>
      <c r="B46" s="121"/>
      <c r="C46" s="122"/>
      <c r="D46" s="122"/>
      <c r="E46" s="122"/>
      <c r="F46" s="122"/>
      <c r="G46" s="195">
        <f>M1</f>
        <v>2016</v>
      </c>
      <c r="H46" s="124"/>
      <c r="I46" s="124"/>
      <c r="J46" s="122"/>
      <c r="K46" s="124"/>
      <c r="L46" s="124"/>
      <c r="M46" s="122"/>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row>
    <row r="47" spans="1:13" ht="33" customHeight="1">
      <c r="A47" s="227" t="s">
        <v>412</v>
      </c>
      <c r="B47" s="227"/>
      <c r="C47" s="227"/>
      <c r="D47" s="128"/>
      <c r="E47" s="128"/>
      <c r="F47" s="129"/>
      <c r="G47" s="128"/>
      <c r="H47" s="32"/>
      <c r="I47" s="32"/>
      <c r="J47" s="32"/>
      <c r="K47" s="32"/>
      <c r="L47" s="32"/>
      <c r="M47" s="32"/>
    </row>
    <row r="48" spans="1:13" ht="33" customHeight="1">
      <c r="A48" s="228"/>
      <c r="B48" s="228"/>
      <c r="C48" s="228"/>
      <c r="D48" s="131" t="s">
        <v>226</v>
      </c>
      <c r="E48" s="131" t="s">
        <v>227</v>
      </c>
      <c r="F48" s="31"/>
      <c r="G48" s="130" t="s">
        <v>228</v>
      </c>
      <c r="H48" s="32"/>
      <c r="I48" s="32"/>
      <c r="J48" s="32"/>
      <c r="K48" s="32"/>
      <c r="L48" s="32"/>
      <c r="M48" s="32"/>
    </row>
    <row r="49" spans="1:13" ht="18" customHeight="1">
      <c r="A49" s="229" t="s">
        <v>14</v>
      </c>
      <c r="B49" s="229"/>
      <c r="C49" s="229"/>
      <c r="D49" s="131" t="s">
        <v>229</v>
      </c>
      <c r="E49" s="131" t="s">
        <v>230</v>
      </c>
      <c r="F49" s="132" t="s">
        <v>231</v>
      </c>
      <c r="G49" s="131" t="s">
        <v>232</v>
      </c>
      <c r="H49" s="32"/>
      <c r="I49" s="32"/>
      <c r="J49" s="32"/>
      <c r="K49" s="32"/>
      <c r="L49" s="32"/>
      <c r="M49" s="32"/>
    </row>
    <row r="50" spans="1:13" ht="18" customHeight="1">
      <c r="A50" s="133" t="s">
        <v>233</v>
      </c>
      <c r="B50" s="108" t="s">
        <v>234</v>
      </c>
      <c r="C50" s="117"/>
      <c r="D50" s="117">
        <f>D152+D170</f>
        <v>995347757.64</v>
      </c>
      <c r="E50" s="117">
        <f>E152+E170</f>
        <v>842959862.13</v>
      </c>
      <c r="F50" s="117"/>
      <c r="G50" s="117">
        <f aca="true" t="shared" si="15" ref="G50:G56">D50-E50</f>
        <v>152387895.51</v>
      </c>
      <c r="H50" s="32"/>
      <c r="I50" s="32"/>
      <c r="J50" s="32"/>
      <c r="K50" s="32"/>
      <c r="L50" s="32"/>
      <c r="M50" s="32"/>
    </row>
    <row r="51" spans="1:13" ht="18" customHeight="1">
      <c r="A51" s="41" t="s">
        <v>235</v>
      </c>
      <c r="B51" s="31" t="s">
        <v>236</v>
      </c>
      <c r="C51" s="116"/>
      <c r="D51" s="116">
        <f aca="true" t="shared" si="16" ref="D51:E55">D153+D171</f>
        <v>106028338.57000001</v>
      </c>
      <c r="E51" s="116">
        <f t="shared" si="16"/>
        <v>196713493.36000004</v>
      </c>
      <c r="F51" s="116"/>
      <c r="G51" s="116">
        <f t="shared" si="15"/>
        <v>-90685154.79000004</v>
      </c>
      <c r="H51" s="32"/>
      <c r="I51" s="32"/>
      <c r="J51" s="32"/>
      <c r="K51" s="32"/>
      <c r="L51" s="32"/>
      <c r="M51" s="32"/>
    </row>
    <row r="52" spans="1:13" ht="18" customHeight="1">
      <c r="A52" s="41" t="s">
        <v>237</v>
      </c>
      <c r="B52" s="31" t="s">
        <v>238</v>
      </c>
      <c r="C52" s="116"/>
      <c r="D52" s="116">
        <f t="shared" si="16"/>
        <v>0</v>
      </c>
      <c r="E52" s="116">
        <f t="shared" si="16"/>
        <v>0</v>
      </c>
      <c r="F52" s="116"/>
      <c r="G52" s="116">
        <f t="shared" si="15"/>
        <v>0</v>
      </c>
      <c r="H52" s="32"/>
      <c r="I52" s="32"/>
      <c r="J52" s="32"/>
      <c r="K52" s="32"/>
      <c r="L52" s="32"/>
      <c r="M52" s="32"/>
    </row>
    <row r="53" spans="1:13" ht="18" customHeight="1">
      <c r="A53" s="134" t="s">
        <v>239</v>
      </c>
      <c r="B53" s="134"/>
      <c r="C53" s="135"/>
      <c r="D53" s="135">
        <f>D50+D51+D52</f>
        <v>1101376096.21</v>
      </c>
      <c r="E53" s="135">
        <f>E50+E51+E52</f>
        <v>1039673355.49</v>
      </c>
      <c r="F53" s="116"/>
      <c r="G53" s="135">
        <f t="shared" si="15"/>
        <v>61702740.72000003</v>
      </c>
      <c r="H53" s="32"/>
      <c r="I53" s="32"/>
      <c r="J53" s="32"/>
      <c r="K53" s="32"/>
      <c r="L53" s="32"/>
      <c r="M53" s="32"/>
    </row>
    <row r="54" spans="1:13" ht="18" customHeight="1">
      <c r="A54" s="41" t="s">
        <v>240</v>
      </c>
      <c r="B54" s="31" t="s">
        <v>212</v>
      </c>
      <c r="C54" s="116"/>
      <c r="D54" s="116">
        <f t="shared" si="16"/>
        <v>151226.66999999998</v>
      </c>
      <c r="E54" s="116">
        <f>E156+E174</f>
        <v>138790</v>
      </c>
      <c r="F54" s="116"/>
      <c r="G54" s="116">
        <f t="shared" si="15"/>
        <v>12436.669999999984</v>
      </c>
      <c r="H54" s="32"/>
      <c r="I54" s="32"/>
      <c r="J54" s="32"/>
      <c r="K54" s="32"/>
      <c r="L54" s="32"/>
      <c r="M54" s="32"/>
    </row>
    <row r="55" spans="1:13" ht="18" customHeight="1">
      <c r="A55" s="41" t="s">
        <v>241</v>
      </c>
      <c r="B55" s="31" t="s">
        <v>242</v>
      </c>
      <c r="C55" s="116"/>
      <c r="D55" s="116">
        <f t="shared" si="16"/>
        <v>13342812.990000002</v>
      </c>
      <c r="E55" s="116">
        <f>E157+E175</f>
        <v>19238817.93</v>
      </c>
      <c r="F55" s="116"/>
      <c r="G55" s="116">
        <f t="shared" si="15"/>
        <v>-5896004.939999998</v>
      </c>
      <c r="H55" s="32"/>
      <c r="I55" s="32"/>
      <c r="J55" s="32"/>
      <c r="K55" s="32"/>
      <c r="L55" s="32"/>
      <c r="M55" s="32"/>
    </row>
    <row r="56" spans="1:13" ht="18" customHeight="1">
      <c r="A56" s="108" t="s">
        <v>243</v>
      </c>
      <c r="B56" s="108"/>
      <c r="C56" s="117"/>
      <c r="D56" s="117">
        <f>D54+D55</f>
        <v>13494039.660000002</v>
      </c>
      <c r="E56" s="117">
        <f>E54+E55</f>
        <v>19377607.93</v>
      </c>
      <c r="F56" s="116"/>
      <c r="G56" s="135">
        <f t="shared" si="15"/>
        <v>-5883568.269999998</v>
      </c>
      <c r="H56" s="32"/>
      <c r="I56" s="32"/>
      <c r="J56" s="32"/>
      <c r="K56" s="32"/>
      <c r="L56" s="32"/>
      <c r="M56" s="32"/>
    </row>
    <row r="57" spans="1:13" ht="18" customHeight="1">
      <c r="A57" s="230" t="s">
        <v>439</v>
      </c>
      <c r="B57" s="230"/>
      <c r="C57" s="230"/>
      <c r="D57" s="136">
        <f>D53+D56</f>
        <v>1114870135.8700001</v>
      </c>
      <c r="E57" s="136">
        <f>E53+E56</f>
        <v>1059050963.42</v>
      </c>
      <c r="F57" s="116"/>
      <c r="G57" s="136">
        <f>G53+G56</f>
        <v>55819172.45000003</v>
      </c>
      <c r="H57" s="32"/>
      <c r="I57" s="32"/>
      <c r="J57" s="32"/>
      <c r="K57" s="32"/>
      <c r="L57" s="32"/>
      <c r="M57" s="32"/>
    </row>
    <row r="58" spans="1:13" ht="18" customHeight="1">
      <c r="A58" s="137" t="s">
        <v>245</v>
      </c>
      <c r="B58" s="31"/>
      <c r="C58" s="116"/>
      <c r="D58" s="116"/>
      <c r="E58" s="116"/>
      <c r="F58" s="116"/>
      <c r="G58" s="117"/>
      <c r="H58" s="32"/>
      <c r="I58" s="32"/>
      <c r="J58" s="32"/>
      <c r="K58" s="32"/>
      <c r="L58" s="32"/>
      <c r="M58" s="32"/>
    </row>
    <row r="59" spans="1:13" ht="18" customHeight="1">
      <c r="A59" s="141" t="s">
        <v>246</v>
      </c>
      <c r="B59" s="31"/>
      <c r="C59" s="116"/>
      <c r="D59" s="116"/>
      <c r="E59" s="116"/>
      <c r="F59" s="116">
        <f>F161+F179</f>
        <v>8948936.200000001</v>
      </c>
      <c r="G59" s="116"/>
      <c r="H59" s="32"/>
      <c r="I59" s="32"/>
      <c r="J59" s="32"/>
      <c r="K59" s="32"/>
      <c r="L59" s="32"/>
      <c r="M59" s="32"/>
    </row>
    <row r="60" spans="1:13" ht="18" customHeight="1">
      <c r="A60" s="141" t="s">
        <v>247</v>
      </c>
      <c r="B60" s="31"/>
      <c r="C60" s="116"/>
      <c r="D60" s="116"/>
      <c r="E60" s="116"/>
      <c r="F60" s="116">
        <f>F162+F180</f>
        <v>42129424.44</v>
      </c>
      <c r="G60" s="116"/>
      <c r="H60" s="32"/>
      <c r="I60" s="32"/>
      <c r="J60" s="32"/>
      <c r="K60" s="32"/>
      <c r="L60" s="32"/>
      <c r="M60" s="32"/>
    </row>
    <row r="61" spans="1:13" ht="18" customHeight="1">
      <c r="A61" s="141" t="s">
        <v>248</v>
      </c>
      <c r="B61" s="31"/>
      <c r="C61" s="116"/>
      <c r="D61" s="116"/>
      <c r="E61" s="116"/>
      <c r="F61" s="116">
        <f>F163+F181</f>
        <v>61985480.730000004</v>
      </c>
      <c r="G61" s="116"/>
      <c r="H61" s="32"/>
      <c r="I61" s="32"/>
      <c r="J61" s="32"/>
      <c r="K61" s="32"/>
      <c r="L61" s="32"/>
      <c r="M61" s="32"/>
    </row>
    <row r="62" spans="1:13" ht="18" customHeight="1">
      <c r="A62" s="230" t="s">
        <v>440</v>
      </c>
      <c r="B62" s="230"/>
      <c r="C62" s="230"/>
      <c r="D62" s="230"/>
      <c r="E62" s="230"/>
      <c r="F62" s="142">
        <f>F59+F60-F61</f>
        <v>-10907120.090000004</v>
      </c>
      <c r="G62" s="116"/>
      <c r="H62" s="32"/>
      <c r="I62" s="32"/>
      <c r="J62" s="32"/>
      <c r="K62" s="32"/>
      <c r="L62" s="32"/>
      <c r="M62" s="32"/>
    </row>
    <row r="63" spans="1:13" ht="18" customHeight="1" thickBot="1">
      <c r="A63" s="226" t="s">
        <v>250</v>
      </c>
      <c r="B63" s="226"/>
      <c r="C63" s="226"/>
      <c r="D63" s="226"/>
      <c r="E63" s="226"/>
      <c r="F63" s="226"/>
      <c r="G63" s="143">
        <f>G57+F62</f>
        <v>44912052.36000003</v>
      </c>
      <c r="H63" s="32"/>
      <c r="I63" s="32"/>
      <c r="J63" s="32"/>
      <c r="K63" s="32"/>
      <c r="L63" s="32"/>
      <c r="M63" s="32"/>
    </row>
    <row r="64" spans="1:7" ht="12.95" customHeight="1">
      <c r="A64" s="82"/>
      <c r="B64" s="82"/>
      <c r="C64" s="82"/>
      <c r="D64" s="82"/>
      <c r="E64" s="82"/>
      <c r="F64" s="82"/>
      <c r="G64" s="98"/>
    </row>
    <row r="65" spans="1:7" ht="12.95" customHeight="1">
      <c r="A65" s="82"/>
      <c r="B65" s="82"/>
      <c r="C65" s="82"/>
      <c r="D65" s="82"/>
      <c r="E65" s="82"/>
      <c r="F65" s="82"/>
      <c r="G65" s="98"/>
    </row>
    <row r="66" spans="1:132" s="2" customFormat="1" ht="21" customHeight="1">
      <c r="A66" s="97" t="s">
        <v>251</v>
      </c>
      <c r="B66" s="125"/>
      <c r="C66" s="98"/>
      <c r="D66" s="98"/>
      <c r="E66" s="98"/>
      <c r="F66" s="98"/>
      <c r="G66" s="98"/>
      <c r="H66" s="99"/>
      <c r="I66" s="99"/>
      <c r="J66" s="98"/>
      <c r="K66" s="99"/>
      <c r="L66" s="99"/>
      <c r="M66" s="98"/>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c r="BH66" s="45"/>
      <c r="BI66" s="45"/>
      <c r="BJ66" s="45"/>
      <c r="BK66" s="45"/>
      <c r="BL66" s="45"/>
      <c r="BM66" s="45"/>
      <c r="BN66" s="45"/>
      <c r="BO66" s="45"/>
      <c r="BP66" s="45"/>
      <c r="BQ66" s="45"/>
      <c r="BR66" s="45"/>
      <c r="BS66" s="45"/>
      <c r="BT66" s="45"/>
      <c r="BU66" s="45"/>
      <c r="BV66" s="45"/>
      <c r="BW66" s="45"/>
      <c r="BX66" s="45"/>
      <c r="BY66" s="45"/>
      <c r="BZ66" s="45"/>
      <c r="CA66" s="45"/>
      <c r="CB66" s="45"/>
      <c r="CC66" s="45"/>
      <c r="CD66" s="45"/>
      <c r="CE66" s="45"/>
      <c r="CF66" s="45"/>
      <c r="CG66" s="45"/>
      <c r="CH66" s="45"/>
      <c r="CI66" s="45"/>
      <c r="CJ66" s="45"/>
      <c r="CK66" s="45"/>
      <c r="CL66" s="45"/>
      <c r="CM66" s="45"/>
      <c r="CN66" s="45"/>
      <c r="CO66" s="45"/>
      <c r="CP66" s="45"/>
      <c r="CQ66" s="45"/>
      <c r="CR66" s="45"/>
      <c r="CS66" s="45"/>
      <c r="CT66" s="45"/>
      <c r="CU66" s="45"/>
      <c r="CV66" s="45"/>
      <c r="CW66" s="45"/>
      <c r="CX66" s="45"/>
      <c r="CY66" s="45"/>
      <c r="CZ66" s="45"/>
      <c r="DA66" s="45"/>
      <c r="DB66" s="45"/>
      <c r="DC66" s="45"/>
      <c r="DD66" s="45"/>
      <c r="DE66" s="45"/>
      <c r="DF66" s="45"/>
      <c r="DG66" s="45"/>
      <c r="DH66" s="45"/>
      <c r="DI66" s="45"/>
      <c r="DJ66" s="45"/>
      <c r="DK66" s="45"/>
      <c r="DL66" s="45"/>
      <c r="DM66" s="45"/>
      <c r="DN66" s="45"/>
      <c r="DO66" s="45"/>
      <c r="DP66" s="45"/>
      <c r="DQ66" s="45"/>
      <c r="DR66" s="45"/>
      <c r="DS66" s="45"/>
      <c r="DT66" s="45"/>
      <c r="DU66" s="45"/>
      <c r="DV66" s="45"/>
      <c r="DW66" s="45"/>
      <c r="DX66" s="45"/>
      <c r="DY66" s="45"/>
      <c r="DZ66" s="45"/>
      <c r="EA66" s="45"/>
      <c r="EB66" s="45"/>
    </row>
    <row r="67" spans="1:132" s="2" customFormat="1" ht="12.95" customHeight="1">
      <c r="A67" s="97"/>
      <c r="B67" s="125"/>
      <c r="C67" s="98"/>
      <c r="D67" s="98"/>
      <c r="E67" s="98"/>
      <c r="F67" s="98"/>
      <c r="G67" s="98"/>
      <c r="H67" s="99"/>
      <c r="I67" s="99"/>
      <c r="J67" s="98"/>
      <c r="K67" s="99"/>
      <c r="L67" s="99"/>
      <c r="M67" s="98"/>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c r="BH67" s="45"/>
      <c r="BI67" s="45"/>
      <c r="BJ67" s="45"/>
      <c r="BK67" s="45"/>
      <c r="BL67" s="45"/>
      <c r="BM67" s="45"/>
      <c r="BN67" s="45"/>
      <c r="BO67" s="45"/>
      <c r="BP67" s="45"/>
      <c r="BQ67" s="45"/>
      <c r="BR67" s="45"/>
      <c r="BS67" s="45"/>
      <c r="BT67" s="45"/>
      <c r="BU67" s="45"/>
      <c r="BV67" s="45"/>
      <c r="BW67" s="45"/>
      <c r="BX67" s="45"/>
      <c r="BY67" s="45"/>
      <c r="BZ67" s="45"/>
      <c r="CA67" s="45"/>
      <c r="CB67" s="45"/>
      <c r="CC67" s="45"/>
      <c r="CD67" s="45"/>
      <c r="CE67" s="45"/>
      <c r="CF67" s="45"/>
      <c r="CG67" s="45"/>
      <c r="CH67" s="45"/>
      <c r="CI67" s="45"/>
      <c r="CJ67" s="45"/>
      <c r="CK67" s="45"/>
      <c r="CL67" s="45"/>
      <c r="CM67" s="45"/>
      <c r="CN67" s="45"/>
      <c r="CO67" s="45"/>
      <c r="CP67" s="45"/>
      <c r="CQ67" s="45"/>
      <c r="CR67" s="45"/>
      <c r="CS67" s="45"/>
      <c r="CT67" s="45"/>
      <c r="CU67" s="45"/>
      <c r="CV67" s="45"/>
      <c r="CW67" s="45"/>
      <c r="CX67" s="45"/>
      <c r="CY67" s="45"/>
      <c r="CZ67" s="45"/>
      <c r="DA67" s="45"/>
      <c r="DB67" s="45"/>
      <c r="DC67" s="45"/>
      <c r="DD67" s="45"/>
      <c r="DE67" s="45"/>
      <c r="DF67" s="45"/>
      <c r="DG67" s="45"/>
      <c r="DH67" s="45"/>
      <c r="DI67" s="45"/>
      <c r="DJ67" s="45"/>
      <c r="DK67" s="45"/>
      <c r="DL67" s="45"/>
      <c r="DM67" s="45"/>
      <c r="DN67" s="45"/>
      <c r="DO67" s="45"/>
      <c r="DP67" s="45"/>
      <c r="DQ67" s="45"/>
      <c r="DR67" s="45"/>
      <c r="DS67" s="45"/>
      <c r="DT67" s="45"/>
      <c r="DU67" s="45"/>
      <c r="DV67" s="45"/>
      <c r="DW67" s="45"/>
      <c r="DX67" s="45"/>
      <c r="DY67" s="45"/>
      <c r="DZ67" s="45"/>
      <c r="EA67" s="45"/>
      <c r="EB67" s="45"/>
    </row>
    <row r="68" spans="1:132" s="2" customFormat="1" ht="18" customHeight="1" thickBot="1">
      <c r="A68" s="110"/>
      <c r="B68" s="125"/>
      <c r="C68" s="196">
        <f>M1</f>
        <v>2016</v>
      </c>
      <c r="D68" s="98"/>
      <c r="E68" s="98"/>
      <c r="F68" s="98"/>
      <c r="G68" s="196">
        <f>M1</f>
        <v>2016</v>
      </c>
      <c r="H68" s="99"/>
      <c r="I68" s="99"/>
      <c r="J68" s="98"/>
      <c r="K68" s="99"/>
      <c r="L68" s="99"/>
      <c r="M68" s="98"/>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c r="AS68" s="45"/>
      <c r="AT68" s="45"/>
      <c r="AU68" s="45"/>
      <c r="AV68" s="45"/>
      <c r="AW68" s="45"/>
      <c r="AX68" s="45"/>
      <c r="AY68" s="45"/>
      <c r="AZ68" s="45"/>
      <c r="BA68" s="45"/>
      <c r="BB68" s="45"/>
      <c r="BC68" s="45"/>
      <c r="BD68" s="45"/>
      <c r="BE68" s="45"/>
      <c r="BF68" s="45"/>
      <c r="BG68" s="45"/>
      <c r="BH68" s="45"/>
      <c r="BI68" s="45"/>
      <c r="BJ68" s="45"/>
      <c r="BK68" s="45"/>
      <c r="BL68" s="45"/>
      <c r="BM68" s="45"/>
      <c r="BN68" s="45"/>
      <c r="BO68" s="45"/>
      <c r="BP68" s="45"/>
      <c r="BQ68" s="45"/>
      <c r="BR68" s="45"/>
      <c r="BS68" s="45"/>
      <c r="BT68" s="45"/>
      <c r="BU68" s="45"/>
      <c r="BV68" s="45"/>
      <c r="BW68" s="45"/>
      <c r="BX68" s="45"/>
      <c r="BY68" s="45"/>
      <c r="BZ68" s="45"/>
      <c r="CA68" s="45"/>
      <c r="CB68" s="45"/>
      <c r="CC68" s="45"/>
      <c r="CD68" s="45"/>
      <c r="CE68" s="45"/>
      <c r="CF68" s="45"/>
      <c r="CG68" s="45"/>
      <c r="CH68" s="45"/>
      <c r="CI68" s="45"/>
      <c r="CJ68" s="45"/>
      <c r="CK68" s="45"/>
      <c r="CL68" s="45"/>
      <c r="CM68" s="45"/>
      <c r="CN68" s="45"/>
      <c r="CO68" s="45"/>
      <c r="CP68" s="45"/>
      <c r="CQ68" s="45"/>
      <c r="CR68" s="45"/>
      <c r="CS68" s="45"/>
      <c r="CT68" s="45"/>
      <c r="CU68" s="45"/>
      <c r="CV68" s="45"/>
      <c r="CW68" s="45"/>
      <c r="CX68" s="45"/>
      <c r="CY68" s="45"/>
      <c r="CZ68" s="45"/>
      <c r="DA68" s="45"/>
      <c r="DB68" s="45"/>
      <c r="DC68" s="45"/>
      <c r="DD68" s="45"/>
      <c r="DE68" s="45"/>
      <c r="DF68" s="45"/>
      <c r="DG68" s="45"/>
      <c r="DH68" s="45"/>
      <c r="DI68" s="45"/>
      <c r="DJ68" s="45"/>
      <c r="DK68" s="45"/>
      <c r="DL68" s="45"/>
      <c r="DM68" s="45"/>
      <c r="DN68" s="45"/>
      <c r="DO68" s="45"/>
      <c r="DP68" s="45"/>
      <c r="DQ68" s="45"/>
      <c r="DR68" s="45"/>
      <c r="DS68" s="45"/>
      <c r="DT68" s="45"/>
      <c r="DU68" s="45"/>
      <c r="DV68" s="45"/>
      <c r="DW68" s="45"/>
      <c r="DX68" s="45"/>
      <c r="DY68" s="45"/>
      <c r="DZ68" s="45"/>
      <c r="EA68" s="45"/>
      <c r="EB68" s="45"/>
    </row>
    <row r="69" spans="1:132" s="144" customFormat="1" ht="33" customHeight="1">
      <c r="A69" s="241" t="s">
        <v>252</v>
      </c>
      <c r="B69" s="241"/>
      <c r="C69" s="241"/>
      <c r="D69" s="122"/>
      <c r="E69" s="241" t="s">
        <v>462</v>
      </c>
      <c r="F69" s="241"/>
      <c r="G69" s="241"/>
      <c r="H69" s="124"/>
      <c r="I69" s="124"/>
      <c r="J69" s="122"/>
      <c r="K69" s="124"/>
      <c r="L69" s="124"/>
      <c r="M69" s="122"/>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c r="BM69" s="45"/>
      <c r="BN69" s="45"/>
      <c r="BO69" s="45"/>
      <c r="BP69" s="45"/>
      <c r="BQ69" s="45"/>
      <c r="BR69" s="45"/>
      <c r="BS69" s="45"/>
      <c r="BT69" s="45"/>
      <c r="BU69" s="45"/>
      <c r="BV69" s="45"/>
      <c r="BW69" s="45"/>
      <c r="BX69" s="45"/>
      <c r="BY69" s="45"/>
      <c r="BZ69" s="45"/>
      <c r="CA69" s="45"/>
      <c r="CB69" s="45"/>
      <c r="CC69" s="45"/>
      <c r="CD69" s="45"/>
      <c r="CE69" s="45"/>
      <c r="CF69" s="45"/>
      <c r="CG69" s="45"/>
      <c r="CH69" s="45"/>
      <c r="CI69" s="45"/>
      <c r="CJ69" s="45"/>
      <c r="CK69" s="45"/>
      <c r="CL69" s="45"/>
      <c r="CM69" s="45"/>
      <c r="CN69" s="45"/>
      <c r="CO69" s="45"/>
      <c r="CP69" s="45"/>
      <c r="CQ69" s="45"/>
      <c r="CR69" s="45"/>
      <c r="CS69" s="45"/>
      <c r="CT69" s="45"/>
      <c r="CU69" s="45"/>
      <c r="CV69" s="45"/>
      <c r="CW69" s="45"/>
      <c r="CX69" s="45"/>
      <c r="CY69" s="45"/>
      <c r="CZ69" s="45"/>
      <c r="DA69" s="45"/>
      <c r="DB69" s="45"/>
      <c r="DC69" s="45"/>
      <c r="DD69" s="45"/>
      <c r="DE69" s="45"/>
      <c r="DF69" s="45"/>
      <c r="DG69" s="45"/>
      <c r="DH69" s="45"/>
      <c r="DI69" s="45"/>
      <c r="DJ69" s="45"/>
      <c r="DK69" s="45"/>
      <c r="DL69" s="45"/>
      <c r="DM69" s="45"/>
      <c r="DN69" s="45"/>
      <c r="DO69" s="45"/>
      <c r="DP69" s="45"/>
      <c r="DQ69" s="45"/>
      <c r="DR69" s="45"/>
      <c r="DS69" s="45"/>
      <c r="DT69" s="45"/>
      <c r="DU69" s="45"/>
      <c r="DV69" s="45"/>
      <c r="DW69" s="45"/>
      <c r="DX69" s="45"/>
      <c r="DY69" s="45"/>
      <c r="DZ69" s="45"/>
      <c r="EA69" s="45"/>
      <c r="EB69" s="45"/>
    </row>
    <row r="70" spans="1:7" s="32" customFormat="1" ht="18" customHeight="1">
      <c r="A70" s="232" t="s">
        <v>435</v>
      </c>
      <c r="B70" s="232"/>
      <c r="C70" s="63">
        <f>IF(I24="    --","    --",I24/100)</f>
        <v>0.7902129652535081</v>
      </c>
      <c r="E70" s="31" t="s">
        <v>254</v>
      </c>
      <c r="F70" s="31"/>
      <c r="G70" s="64">
        <f>G42/M5</f>
        <v>224.7736549651127</v>
      </c>
    </row>
    <row r="71" spans="1:7" s="32" customFormat="1" ht="18" customHeight="1">
      <c r="A71" s="232" t="s">
        <v>436</v>
      </c>
      <c r="B71" s="232"/>
      <c r="C71" s="63">
        <f>IF(K24="    --","    --",K24/100)</f>
        <v>0.9660504385323511</v>
      </c>
      <c r="E71" s="31" t="s">
        <v>255</v>
      </c>
      <c r="F71" s="31"/>
      <c r="G71" s="63">
        <f>IF(SUM(G33:G37)=0,"    --",(G18+G23)/SUM(G33:G37))</f>
        <v>0.03531865389776134</v>
      </c>
    </row>
    <row r="72" spans="1:10" s="32" customFormat="1" ht="18" customHeight="1">
      <c r="A72" s="232" t="s">
        <v>256</v>
      </c>
      <c r="B72" s="232"/>
      <c r="C72" s="64">
        <f>G24/M5</f>
        <v>213.5197169457545</v>
      </c>
      <c r="E72" s="31" t="s">
        <v>257</v>
      </c>
      <c r="F72" s="31"/>
      <c r="G72" s="64">
        <f>(G18+G23)/M5</f>
        <v>7.08761487170885</v>
      </c>
      <c r="H72" s="31"/>
      <c r="I72" s="31"/>
      <c r="J72" s="31"/>
    </row>
    <row r="73" spans="1:10" s="32" customFormat="1" ht="18" customHeight="1">
      <c r="A73" s="232" t="s">
        <v>258</v>
      </c>
      <c r="B73" s="232"/>
      <c r="C73" s="64">
        <f>(G20+G21)/M5</f>
        <v>39.66023437247982</v>
      </c>
      <c r="E73" s="31" t="s">
        <v>259</v>
      </c>
      <c r="F73" s="31"/>
      <c r="G73" s="63">
        <f>G63/E24</f>
        <v>0.033511216454029824</v>
      </c>
      <c r="H73" s="31"/>
      <c r="I73" s="31"/>
      <c r="J73" s="31"/>
    </row>
    <row r="74" spans="1:10" s="32" customFormat="1" ht="18" customHeight="1">
      <c r="A74" s="232" t="s">
        <v>260</v>
      </c>
      <c r="B74" s="232"/>
      <c r="C74" s="63">
        <f>SUM(G20+G21)/G24</f>
        <v>0.18574506813605252</v>
      </c>
      <c r="E74" s="31" t="s">
        <v>261</v>
      </c>
      <c r="F74" s="31"/>
      <c r="G74" s="64">
        <f>(G33+G34+G35)/M5</f>
        <v>48.51784449617417</v>
      </c>
      <c r="H74" s="31"/>
      <c r="I74" s="31"/>
      <c r="J74" s="31"/>
    </row>
    <row r="75" spans="1:10" s="32" customFormat="1" ht="18" customHeight="1">
      <c r="A75" s="232" t="s">
        <v>262</v>
      </c>
      <c r="B75" s="232"/>
      <c r="C75" s="65" t="str">
        <f>(INT(L24/G24*365)&amp;" días")</f>
        <v>12 días</v>
      </c>
      <c r="D75" s="31"/>
      <c r="E75" s="31" t="s">
        <v>263</v>
      </c>
      <c r="F75" s="31"/>
      <c r="G75" s="64">
        <f>G53</f>
        <v>61702740.72000003</v>
      </c>
      <c r="H75" s="31"/>
      <c r="I75" s="31"/>
      <c r="J75" s="31"/>
    </row>
    <row r="76" spans="1:7" s="32" customFormat="1" ht="18" customHeight="1">
      <c r="A76" s="232" t="s">
        <v>437</v>
      </c>
      <c r="B76" s="232"/>
      <c r="C76" s="63">
        <f>IF(I42="    --","    --",I42/100)</f>
        <v>0.8318625510002977</v>
      </c>
      <c r="D76" s="31"/>
      <c r="E76" s="31" t="s">
        <v>264</v>
      </c>
      <c r="F76" s="31"/>
      <c r="G76" s="63">
        <f>IF(SUM(E33:E37)=0,"    --",SUM(E16:E19)/SUM(E33:E37))</f>
        <v>0.9328809712874123</v>
      </c>
    </row>
    <row r="77" spans="1:7" s="32" customFormat="1" ht="18" customHeight="1">
      <c r="A77" s="232" t="s">
        <v>438</v>
      </c>
      <c r="B77" s="232"/>
      <c r="C77" s="63">
        <f>IF(K42="    --","    --",K42/100)</f>
        <v>0.7676425356682022</v>
      </c>
      <c r="E77" s="31" t="s">
        <v>265</v>
      </c>
      <c r="F77" s="31"/>
      <c r="G77" s="63">
        <f>E16/E24</f>
        <v>0.48493098029802467</v>
      </c>
    </row>
    <row r="78" spans="1:7" s="32" customFormat="1" ht="18" customHeight="1">
      <c r="A78" s="232" t="s">
        <v>266</v>
      </c>
      <c r="B78" s="232"/>
      <c r="C78" s="63">
        <f>IF(G42=0,"    --",1-(G41/G42))</f>
        <v>0.9880319576597253</v>
      </c>
      <c r="E78" s="31" t="s">
        <v>267</v>
      </c>
      <c r="F78" s="31"/>
      <c r="G78" s="63">
        <f>IF((E19+E21)=0,"    --",(E36+E39)/(E19+E21))</f>
        <v>16.98590199624976</v>
      </c>
    </row>
    <row r="79" spans="1:7" s="32" customFormat="1" ht="18" customHeight="1">
      <c r="A79" s="232" t="s">
        <v>268</v>
      </c>
      <c r="B79" s="232"/>
      <c r="C79" s="65" t="str">
        <f>IF(G42=0,"    --",INT(M42/G42*365)&amp;" días")</f>
        <v>84 días</v>
      </c>
      <c r="E79" s="31" t="s">
        <v>269</v>
      </c>
      <c r="F79" s="31"/>
      <c r="G79" s="63">
        <f>IF((G18+G23)=0,"    --",((G33+G34+G35+G37)-(G16+G17+G18))/(G18+G23))</f>
        <v>-16.26351284848477</v>
      </c>
    </row>
    <row r="80" spans="1:7" s="32" customFormat="1" ht="18" customHeight="1" thickBot="1">
      <c r="A80" s="231" t="s">
        <v>270</v>
      </c>
      <c r="B80" s="231"/>
      <c r="C80" s="145">
        <f>G63/M5</f>
        <v>9.054907684888295</v>
      </c>
      <c r="E80" s="67" t="s">
        <v>271</v>
      </c>
      <c r="F80" s="67"/>
      <c r="G80" s="68">
        <f>IF(G42=0,"    --",SUM(G33:G35)/G42)</f>
        <v>0.21585200678302205</v>
      </c>
    </row>
    <row r="81" ht="12.95" customHeight="1">
      <c r="A81" s="3"/>
    </row>
    <row r="82" s="32" customFormat="1" ht="18" customHeight="1">
      <c r="A82" s="31" t="s">
        <v>272</v>
      </c>
    </row>
    <row r="83" ht="12.95" customHeight="1">
      <c r="A83" s="3"/>
    </row>
    <row r="84" ht="18" customHeight="1">
      <c r="A84" s="60" t="s">
        <v>463</v>
      </c>
    </row>
    <row r="85" ht="18" customHeight="1">
      <c r="A85" s="31" t="s">
        <v>461</v>
      </c>
    </row>
    <row r="86" ht="12.95" customHeight="1">
      <c r="A86" s="3"/>
    </row>
    <row r="87" ht="12.95" customHeight="1" hidden="1" thickBot="1">
      <c r="A87" s="3"/>
    </row>
    <row r="88" spans="1:10" ht="12.95" customHeight="1" hidden="1">
      <c r="A88" s="3"/>
      <c r="B88" s="233" t="s">
        <v>314</v>
      </c>
      <c r="C88" s="236" t="s">
        <v>275</v>
      </c>
      <c r="D88" s="236"/>
      <c r="E88" s="236"/>
      <c r="F88" s="236" t="s">
        <v>276</v>
      </c>
      <c r="G88" s="236" t="s">
        <v>277</v>
      </c>
      <c r="H88" s="236" t="s">
        <v>278</v>
      </c>
      <c r="I88" s="236" t="s">
        <v>279</v>
      </c>
      <c r="J88" s="244" t="s">
        <v>280</v>
      </c>
    </row>
    <row r="89" spans="1:10" ht="12.95" customHeight="1" hidden="1">
      <c r="A89" s="3"/>
      <c r="B89" s="234"/>
      <c r="C89" s="151" t="s">
        <v>281</v>
      </c>
      <c r="D89" s="151" t="s">
        <v>282</v>
      </c>
      <c r="E89" s="151" t="s">
        <v>283</v>
      </c>
      <c r="F89" s="246"/>
      <c r="G89" s="246"/>
      <c r="H89" s="246"/>
      <c r="I89" s="246"/>
      <c r="J89" s="245"/>
    </row>
    <row r="90" spans="1:10" ht="12.95" customHeight="1" hidden="1">
      <c r="A90" s="3"/>
      <c r="B90" s="235"/>
      <c r="C90" s="155" t="s">
        <v>284</v>
      </c>
      <c r="D90" s="155" t="s">
        <v>285</v>
      </c>
      <c r="E90" s="155" t="s">
        <v>286</v>
      </c>
      <c r="F90" s="156" t="s">
        <v>287</v>
      </c>
      <c r="G90" s="156" t="s">
        <v>288</v>
      </c>
      <c r="H90" s="156" t="s">
        <v>289</v>
      </c>
      <c r="I90" s="156" t="s">
        <v>290</v>
      </c>
      <c r="J90" s="157" t="s">
        <v>291</v>
      </c>
    </row>
    <row r="91" spans="1:10" ht="12.95" customHeight="1" hidden="1">
      <c r="A91" s="3"/>
      <c r="B91" s="158" t="s">
        <v>292</v>
      </c>
      <c r="C91" s="116">
        <v>0</v>
      </c>
      <c r="D91" s="116">
        <v>0</v>
      </c>
      <c r="E91" s="116">
        <v>0</v>
      </c>
      <c r="F91" s="116">
        <v>0</v>
      </c>
      <c r="G91" s="116">
        <v>0</v>
      </c>
      <c r="H91" s="116">
        <v>0</v>
      </c>
      <c r="I91" s="116">
        <v>0</v>
      </c>
      <c r="J91" s="116">
        <v>0</v>
      </c>
    </row>
    <row r="92" spans="1:10" ht="12.95" customHeight="1" hidden="1">
      <c r="A92" s="3"/>
      <c r="B92" s="160" t="s">
        <v>293</v>
      </c>
      <c r="C92" s="116">
        <v>0</v>
      </c>
      <c r="D92" s="116">
        <v>0</v>
      </c>
      <c r="E92" s="116">
        <v>0</v>
      </c>
      <c r="F92" s="116">
        <v>0</v>
      </c>
      <c r="G92" s="116">
        <v>0</v>
      </c>
      <c r="H92" s="116">
        <v>0</v>
      </c>
      <c r="I92" s="116">
        <v>0</v>
      </c>
      <c r="J92" s="116">
        <v>0</v>
      </c>
    </row>
    <row r="93" spans="1:10" ht="12.95" customHeight="1" hidden="1">
      <c r="A93" s="3"/>
      <c r="B93" s="160" t="s">
        <v>294</v>
      </c>
      <c r="C93" s="116">
        <v>0</v>
      </c>
      <c r="D93" s="116">
        <v>0</v>
      </c>
      <c r="E93" s="116">
        <v>0</v>
      </c>
      <c r="F93" s="116">
        <v>0</v>
      </c>
      <c r="G93" s="116">
        <v>0</v>
      </c>
      <c r="H93" s="116">
        <v>0</v>
      </c>
      <c r="I93" s="116">
        <v>0</v>
      </c>
      <c r="J93" s="116">
        <v>0</v>
      </c>
    </row>
    <row r="94" spans="1:10" ht="12.95" customHeight="1" hidden="1">
      <c r="A94" s="3"/>
      <c r="B94" s="160" t="s">
        <v>295</v>
      </c>
      <c r="C94" s="116">
        <v>0</v>
      </c>
      <c r="D94" s="116">
        <v>0</v>
      </c>
      <c r="E94" s="116">
        <v>0</v>
      </c>
      <c r="F94" s="116">
        <v>0</v>
      </c>
      <c r="G94" s="116">
        <v>0</v>
      </c>
      <c r="H94" s="116">
        <v>0</v>
      </c>
      <c r="I94" s="116">
        <v>0</v>
      </c>
      <c r="J94" s="116">
        <v>0</v>
      </c>
    </row>
    <row r="95" spans="1:10" ht="12.95" customHeight="1" hidden="1">
      <c r="A95" s="3"/>
      <c r="B95" s="160" t="s">
        <v>296</v>
      </c>
      <c r="C95" s="116">
        <v>0</v>
      </c>
      <c r="D95" s="116">
        <v>0</v>
      </c>
      <c r="E95" s="116">
        <v>0</v>
      </c>
      <c r="F95" s="116">
        <v>0</v>
      </c>
      <c r="G95" s="116">
        <v>0</v>
      </c>
      <c r="H95" s="116">
        <v>0</v>
      </c>
      <c r="I95" s="116">
        <v>0</v>
      </c>
      <c r="J95" s="116">
        <v>0</v>
      </c>
    </row>
    <row r="96" spans="1:10" ht="12.95" customHeight="1" hidden="1">
      <c r="A96" s="3"/>
      <c r="B96" s="160" t="s">
        <v>297</v>
      </c>
      <c r="C96" s="116">
        <v>0</v>
      </c>
      <c r="D96" s="116">
        <v>0</v>
      </c>
      <c r="E96" s="116">
        <v>0</v>
      </c>
      <c r="F96" s="116">
        <v>0</v>
      </c>
      <c r="G96" s="116">
        <v>0</v>
      </c>
      <c r="H96" s="116">
        <v>0</v>
      </c>
      <c r="I96" s="116">
        <v>0</v>
      </c>
      <c r="J96" s="116">
        <v>0</v>
      </c>
    </row>
    <row r="97" spans="1:10" ht="12.95" customHeight="1" hidden="1">
      <c r="A97" s="3"/>
      <c r="B97" s="160" t="s">
        <v>298</v>
      </c>
      <c r="C97" s="116">
        <v>0</v>
      </c>
      <c r="D97" s="116">
        <v>0</v>
      </c>
      <c r="E97" s="116">
        <v>0</v>
      </c>
      <c r="F97" s="116">
        <v>0</v>
      </c>
      <c r="G97" s="116">
        <v>0</v>
      </c>
      <c r="H97" s="116">
        <v>0</v>
      </c>
      <c r="I97" s="116">
        <v>0</v>
      </c>
      <c r="J97" s="116">
        <v>0</v>
      </c>
    </row>
    <row r="98" spans="1:10" ht="12.95" customHeight="1" hidden="1">
      <c r="A98" s="3"/>
      <c r="B98" s="160" t="s">
        <v>299</v>
      </c>
      <c r="C98" s="116">
        <v>0</v>
      </c>
      <c r="D98" s="116">
        <v>0</v>
      </c>
      <c r="E98" s="116">
        <v>0</v>
      </c>
      <c r="F98" s="116">
        <v>0</v>
      </c>
      <c r="G98" s="116">
        <v>0</v>
      </c>
      <c r="H98" s="116">
        <v>0</v>
      </c>
      <c r="I98" s="116">
        <v>0</v>
      </c>
      <c r="J98" s="116">
        <v>0</v>
      </c>
    </row>
    <row r="99" spans="1:10" ht="12.95" customHeight="1" hidden="1" thickBot="1">
      <c r="A99" s="3"/>
      <c r="B99" s="161" t="s">
        <v>300</v>
      </c>
      <c r="C99" s="116">
        <v>0</v>
      </c>
      <c r="D99" s="116">
        <v>0</v>
      </c>
      <c r="E99" s="116">
        <v>0</v>
      </c>
      <c r="F99" s="116">
        <v>0</v>
      </c>
      <c r="G99" s="116">
        <v>0</v>
      </c>
      <c r="H99" s="116">
        <v>0</v>
      </c>
      <c r="I99" s="116">
        <v>0</v>
      </c>
      <c r="J99" s="116">
        <v>0</v>
      </c>
    </row>
    <row r="100" ht="12.95" customHeight="1" hidden="1">
      <c r="A100" s="3"/>
    </row>
    <row r="101" ht="12.95" customHeight="1" hidden="1" thickBot="1">
      <c r="A101" s="3"/>
    </row>
    <row r="102" spans="1:9" ht="12.95" customHeight="1" hidden="1">
      <c r="A102" s="3"/>
      <c r="B102" s="147" t="s">
        <v>315</v>
      </c>
      <c r="C102" s="168" t="s">
        <v>301</v>
      </c>
      <c r="D102" s="169"/>
      <c r="E102" s="170"/>
      <c r="F102" s="148" t="s">
        <v>302</v>
      </c>
      <c r="G102" s="148" t="s">
        <v>303</v>
      </c>
      <c r="H102" s="148" t="s">
        <v>304</v>
      </c>
      <c r="I102" s="149" t="s">
        <v>305</v>
      </c>
    </row>
    <row r="103" spans="1:9" ht="12.95" customHeight="1" hidden="1">
      <c r="A103" s="3"/>
      <c r="B103" s="150"/>
      <c r="C103" s="151" t="s">
        <v>281</v>
      </c>
      <c r="D103" s="151" t="s">
        <v>282</v>
      </c>
      <c r="E103" s="151" t="s">
        <v>283</v>
      </c>
      <c r="F103" s="152"/>
      <c r="G103" s="152"/>
      <c r="H103" s="152"/>
      <c r="I103" s="153"/>
    </row>
    <row r="104" spans="1:9" ht="12.95" customHeight="1" hidden="1">
      <c r="A104" s="3"/>
      <c r="B104" s="154"/>
      <c r="C104" s="155" t="s">
        <v>284</v>
      </c>
      <c r="D104" s="155" t="s">
        <v>285</v>
      </c>
      <c r="E104" s="155" t="s">
        <v>286</v>
      </c>
      <c r="F104" s="156" t="s">
        <v>288</v>
      </c>
      <c r="G104" s="156" t="s">
        <v>287</v>
      </c>
      <c r="H104" s="156" t="s">
        <v>289</v>
      </c>
      <c r="I104" s="157" t="s">
        <v>290</v>
      </c>
    </row>
    <row r="105" spans="1:9" ht="12.95" customHeight="1" hidden="1">
      <c r="A105" s="3"/>
      <c r="B105" s="158" t="s">
        <v>306</v>
      </c>
      <c r="C105" s="116">
        <v>0</v>
      </c>
      <c r="D105" s="116">
        <v>0</v>
      </c>
      <c r="E105" s="116">
        <v>0</v>
      </c>
      <c r="F105" s="116">
        <v>0</v>
      </c>
      <c r="G105" s="116">
        <v>0</v>
      </c>
      <c r="H105" s="116">
        <v>0</v>
      </c>
      <c r="I105" s="116">
        <v>0</v>
      </c>
    </row>
    <row r="106" spans="1:9" ht="12.95" customHeight="1" hidden="1">
      <c r="A106" s="3"/>
      <c r="B106" s="160" t="s">
        <v>307</v>
      </c>
      <c r="C106" s="116">
        <v>0</v>
      </c>
      <c r="D106" s="116">
        <v>0</v>
      </c>
      <c r="E106" s="116">
        <v>0</v>
      </c>
      <c r="F106" s="116">
        <v>0</v>
      </c>
      <c r="G106" s="116">
        <v>0</v>
      </c>
      <c r="H106" s="116">
        <v>0</v>
      </c>
      <c r="I106" s="116">
        <v>0</v>
      </c>
    </row>
    <row r="107" spans="1:9" ht="12.95" customHeight="1" hidden="1">
      <c r="A107" s="3"/>
      <c r="B107" s="160" t="s">
        <v>308</v>
      </c>
      <c r="C107" s="116">
        <v>0</v>
      </c>
      <c r="D107" s="116">
        <v>0</v>
      </c>
      <c r="E107" s="116">
        <v>0</v>
      </c>
      <c r="F107" s="116">
        <v>0</v>
      </c>
      <c r="G107" s="116">
        <v>0</v>
      </c>
      <c r="H107" s="116">
        <v>0</v>
      </c>
      <c r="I107" s="116">
        <v>0</v>
      </c>
    </row>
    <row r="108" spans="1:9" ht="12.95" customHeight="1" hidden="1">
      <c r="A108" s="3"/>
      <c r="B108" s="160" t="s">
        <v>295</v>
      </c>
      <c r="C108" s="116">
        <v>0</v>
      </c>
      <c r="D108" s="116">
        <v>0</v>
      </c>
      <c r="E108" s="116">
        <v>0</v>
      </c>
      <c r="F108" s="116">
        <v>0</v>
      </c>
      <c r="G108" s="116">
        <v>0</v>
      </c>
      <c r="H108" s="116">
        <v>0</v>
      </c>
      <c r="I108" s="116">
        <v>0</v>
      </c>
    </row>
    <row r="109" spans="1:9" ht="12.95" customHeight="1" hidden="1">
      <c r="A109" s="3"/>
      <c r="B109" s="160" t="s">
        <v>309</v>
      </c>
      <c r="C109" s="116">
        <v>0</v>
      </c>
      <c r="D109" s="116">
        <v>0</v>
      </c>
      <c r="E109" s="116">
        <v>0</v>
      </c>
      <c r="F109" s="116">
        <v>0</v>
      </c>
      <c r="G109" s="116">
        <v>0</v>
      </c>
      <c r="H109" s="116">
        <v>0</v>
      </c>
      <c r="I109" s="116">
        <v>0</v>
      </c>
    </row>
    <row r="110" spans="1:9" ht="12.95" customHeight="1" hidden="1">
      <c r="A110" s="3"/>
      <c r="B110" s="160" t="s">
        <v>310</v>
      </c>
      <c r="C110" s="116">
        <v>0</v>
      </c>
      <c r="D110" s="116">
        <v>0</v>
      </c>
      <c r="E110" s="116">
        <v>0</v>
      </c>
      <c r="F110" s="116">
        <v>0</v>
      </c>
      <c r="G110" s="116">
        <v>0</v>
      </c>
      <c r="H110" s="116">
        <v>0</v>
      </c>
      <c r="I110" s="116">
        <v>0</v>
      </c>
    </row>
    <row r="111" spans="1:9" ht="12.95" customHeight="1" hidden="1">
      <c r="A111" s="3"/>
      <c r="B111" s="160" t="s">
        <v>297</v>
      </c>
      <c r="C111" s="116">
        <v>0</v>
      </c>
      <c r="D111" s="116">
        <v>0</v>
      </c>
      <c r="E111" s="116">
        <v>0</v>
      </c>
      <c r="F111" s="116">
        <v>0</v>
      </c>
      <c r="G111" s="116">
        <v>0</v>
      </c>
      <c r="H111" s="116">
        <v>0</v>
      </c>
      <c r="I111" s="116">
        <v>0</v>
      </c>
    </row>
    <row r="112" spans="1:9" ht="12.95" customHeight="1" hidden="1">
      <c r="A112" s="3"/>
      <c r="B112" s="160" t="s">
        <v>298</v>
      </c>
      <c r="C112" s="116">
        <v>0</v>
      </c>
      <c r="D112" s="116">
        <v>0</v>
      </c>
      <c r="E112" s="116">
        <v>0</v>
      </c>
      <c r="F112" s="116">
        <v>0</v>
      </c>
      <c r="G112" s="116">
        <v>0</v>
      </c>
      <c r="H112" s="116">
        <v>0</v>
      </c>
      <c r="I112" s="116">
        <v>0</v>
      </c>
    </row>
    <row r="113" spans="1:9" ht="12.95" customHeight="1" hidden="1">
      <c r="A113" s="3"/>
      <c r="B113" s="164" t="s">
        <v>299</v>
      </c>
      <c r="C113" s="116">
        <v>0</v>
      </c>
      <c r="D113" s="116">
        <v>0</v>
      </c>
      <c r="E113" s="116">
        <v>0</v>
      </c>
      <c r="F113" s="116">
        <v>0</v>
      </c>
      <c r="G113" s="116">
        <v>0</v>
      </c>
      <c r="H113" s="116">
        <v>0</v>
      </c>
      <c r="I113" s="116">
        <v>0</v>
      </c>
    </row>
    <row r="114" spans="1:9" ht="12.95" customHeight="1" hidden="1" thickBot="1">
      <c r="A114" s="3"/>
      <c r="B114" s="161" t="s">
        <v>311</v>
      </c>
      <c r="C114" s="116">
        <v>0</v>
      </c>
      <c r="D114" s="116">
        <v>0</v>
      </c>
      <c r="E114" s="116">
        <v>0</v>
      </c>
      <c r="F114" s="116">
        <v>0</v>
      </c>
      <c r="G114" s="116">
        <v>0</v>
      </c>
      <c r="H114" s="116">
        <v>0</v>
      </c>
      <c r="I114" s="116">
        <v>0</v>
      </c>
    </row>
    <row r="115" ht="12.95" customHeight="1" hidden="1">
      <c r="A115" s="3"/>
    </row>
    <row r="116" ht="12.95" customHeight="1" hidden="1">
      <c r="A116" s="3"/>
    </row>
    <row r="117" ht="12.95" customHeight="1" hidden="1" thickBot="1">
      <c r="A117" s="3"/>
    </row>
    <row r="118" spans="1:10" ht="15" customHeight="1" hidden="1">
      <c r="A118" s="3"/>
      <c r="B118" s="233" t="s">
        <v>312</v>
      </c>
      <c r="C118" s="236" t="s">
        <v>275</v>
      </c>
      <c r="D118" s="236"/>
      <c r="E118" s="236"/>
      <c r="F118" s="236" t="s">
        <v>276</v>
      </c>
      <c r="G118" s="236" t="s">
        <v>277</v>
      </c>
      <c r="H118" s="236" t="s">
        <v>278</v>
      </c>
      <c r="I118" s="236" t="s">
        <v>279</v>
      </c>
      <c r="J118" s="244" t="s">
        <v>280</v>
      </c>
    </row>
    <row r="119" spans="2:10" ht="12.75" hidden="1">
      <c r="B119" s="234"/>
      <c r="C119" s="151" t="s">
        <v>281</v>
      </c>
      <c r="D119" s="151" t="s">
        <v>282</v>
      </c>
      <c r="E119" s="151" t="s">
        <v>283</v>
      </c>
      <c r="F119" s="246"/>
      <c r="G119" s="246"/>
      <c r="H119" s="246"/>
      <c r="I119" s="246"/>
      <c r="J119" s="245"/>
    </row>
    <row r="120" spans="2:10" ht="12.75" hidden="1">
      <c r="B120" s="235"/>
      <c r="C120" s="155" t="s">
        <v>284</v>
      </c>
      <c r="D120" s="155" t="s">
        <v>285</v>
      </c>
      <c r="E120" s="155" t="s">
        <v>286</v>
      </c>
      <c r="F120" s="156" t="s">
        <v>287</v>
      </c>
      <c r="G120" s="156" t="s">
        <v>288</v>
      </c>
      <c r="H120" s="156" t="s">
        <v>289</v>
      </c>
      <c r="I120" s="156" t="s">
        <v>290</v>
      </c>
      <c r="J120" s="157" t="s">
        <v>291</v>
      </c>
    </row>
    <row r="121" spans="2:10" ht="12.75" hidden="1">
      <c r="B121" s="158" t="s">
        <v>292</v>
      </c>
      <c r="C121" s="159">
        <f>'[1]5100'!D5+'[2]5100'!D5+'[3]5100'!D5+'[4]5100'!D5+'[5]5100'!D5</f>
        <v>628253416.64</v>
      </c>
      <c r="D121" s="159">
        <f>'[1]5100'!E5+'[2]5100'!E5+'[3]5100'!E5+'[4]5100'!E5+'[5]5100'!E5</f>
        <v>21655714.77</v>
      </c>
      <c r="E121" s="159">
        <f>'[1]5100'!F5+'[2]5100'!F5+'[3]5100'!F5+'[4]5100'!F5+'[5]5100'!F5</f>
        <v>649909131.4100001</v>
      </c>
      <c r="F121" s="159">
        <f>'[1]5100'!G5+'[2]5100'!G5+'[3]5100'!G5+'[4]5100'!G5+'[5]5100'!G5</f>
        <v>511376515.23</v>
      </c>
      <c r="G121" s="159">
        <f>'[1]5100'!H5+'[2]5100'!H5+'[3]5100'!H5+'[4]5100'!H5+'[5]5100'!H5</f>
        <v>630589484.19</v>
      </c>
      <c r="H121" s="159">
        <f>'[1]5100'!I5+'[2]5100'!I5+'[3]5100'!I5+'[4]5100'!I5+'[5]5100'!I5</f>
        <v>19319647.220000014</v>
      </c>
      <c r="I121" s="159">
        <f>'[1]5100'!J5+'[2]5100'!J5+'[3]5100'!J5+'[4]5100'!J5+'[5]5100'!J5</f>
        <v>616419365.17</v>
      </c>
      <c r="J121" s="159">
        <f>'[1]5100'!K5+'[2]5100'!K5+'[3]5100'!K5+'[4]5100'!K5+'[5]5100'!K5</f>
        <v>14170119.019999996</v>
      </c>
    </row>
    <row r="122" spans="2:10" ht="12.75" hidden="1">
      <c r="B122" s="160" t="s">
        <v>293</v>
      </c>
      <c r="C122" s="159">
        <f>'[1]5100'!D6+'[2]5100'!D6+'[3]5100'!D6+'[4]5100'!D6+'[5]5100'!D6</f>
        <v>169997586.93</v>
      </c>
      <c r="D122" s="159">
        <f>'[1]5100'!E6+'[2]5100'!E6+'[3]5100'!E6+'[4]5100'!E6+'[5]5100'!E6</f>
        <v>53518232.150000006</v>
      </c>
      <c r="E122" s="159">
        <f>'[1]5100'!F6+'[2]5100'!F6+'[3]5100'!F6+'[4]5100'!F6+'[5]5100'!F6</f>
        <v>223515819.07999998</v>
      </c>
      <c r="F122" s="159">
        <f>'[1]5100'!G6+'[2]5100'!G6+'[3]5100'!G6+'[4]5100'!G6+'[5]5100'!G6</f>
        <v>145542462.88</v>
      </c>
      <c r="G122" s="159">
        <f>'[1]5100'!H6+'[2]5100'!H6+'[3]5100'!H6+'[4]5100'!H6+'[5]5100'!H6</f>
        <v>170413100.17000002</v>
      </c>
      <c r="H122" s="159">
        <f>'[1]5100'!I6+'[2]5100'!I6+'[3]5100'!I6+'[4]5100'!I6+'[5]5100'!I6</f>
        <v>53102718.910000004</v>
      </c>
      <c r="I122" s="159">
        <f>'[1]5100'!J6+'[2]5100'!J6+'[3]5100'!J6+'[4]5100'!J6+'[5]5100'!J6</f>
        <v>157809579.29000002</v>
      </c>
      <c r="J122" s="159">
        <f>'[1]5100'!K6+'[2]5100'!K6+'[3]5100'!K6+'[4]5100'!K6+'[5]5100'!K6</f>
        <v>12603520.879999999</v>
      </c>
    </row>
    <row r="123" spans="2:10" ht="12.75" hidden="1">
      <c r="B123" s="160" t="s">
        <v>294</v>
      </c>
      <c r="C123" s="159">
        <f>'[1]5100'!D7+'[2]5100'!D7+'[3]5100'!D7+'[4]5100'!D7+'[5]5100'!D7</f>
        <v>16503509.76</v>
      </c>
      <c r="D123" s="159">
        <f>'[1]5100'!E7+'[2]5100'!E7+'[3]5100'!E7+'[4]5100'!E7+'[5]5100'!E7</f>
        <v>844261.1200000001</v>
      </c>
      <c r="E123" s="159">
        <f>'[1]5100'!F7+'[2]5100'!F7+'[3]5100'!F7+'[4]5100'!F7+'[5]5100'!F7</f>
        <v>17347770.88</v>
      </c>
      <c r="F123" s="159">
        <f>'[1]5100'!G7+'[2]5100'!G7+'[3]5100'!G7+'[4]5100'!G7+'[5]5100'!G7</f>
        <v>11749564.620000001</v>
      </c>
      <c r="G123" s="159">
        <f>'[1]5100'!H7+'[2]5100'!H7+'[3]5100'!H7+'[4]5100'!H7+'[5]5100'!H7</f>
        <v>15915525.030000001</v>
      </c>
      <c r="H123" s="159">
        <f>'[1]5100'!I7+'[2]5100'!I7+'[3]5100'!I7+'[4]5100'!I7+'[5]5100'!I7</f>
        <v>1432245.8499999992</v>
      </c>
      <c r="I123" s="159">
        <f>'[1]5100'!J7+'[2]5100'!J7+'[3]5100'!J7+'[4]5100'!J7+'[5]5100'!J7</f>
        <v>15912425.110000001</v>
      </c>
      <c r="J123" s="159">
        <f>'[1]5100'!K7+'[2]5100'!K7+'[3]5100'!K7+'[4]5100'!K7+'[5]5100'!K7</f>
        <v>3099.9199999999255</v>
      </c>
    </row>
    <row r="124" spans="2:10" ht="12.75" hidden="1">
      <c r="B124" s="160" t="s">
        <v>295</v>
      </c>
      <c r="C124" s="159">
        <f>'[1]5100'!D8+'[2]5100'!D8+'[3]5100'!D8+'[4]5100'!D8+'[5]5100'!D8</f>
        <v>22868208.3</v>
      </c>
      <c r="D124" s="159">
        <f>'[1]5100'!E8+'[2]5100'!E8+'[3]5100'!E8+'[4]5100'!E8+'[5]5100'!E8</f>
        <v>20877464.990000002</v>
      </c>
      <c r="E124" s="159">
        <f>'[1]5100'!F8+'[2]5100'!F8+'[3]5100'!F8+'[4]5100'!F8+'[5]5100'!F8</f>
        <v>43745673.29</v>
      </c>
      <c r="F124" s="159">
        <f>'[1]5100'!G8+'[2]5100'!G8+'[3]5100'!G8+'[4]5100'!G8+'[5]5100'!G8</f>
        <v>23056921.68</v>
      </c>
      <c r="G124" s="159">
        <f>'[1]5100'!H8+'[2]5100'!H8+'[3]5100'!H8+'[4]5100'!H8+'[5]5100'!H8</f>
        <v>26041752.74</v>
      </c>
      <c r="H124" s="159">
        <f>'[1]5100'!I8+'[2]5100'!I8+'[3]5100'!I8+'[4]5100'!I8+'[5]5100'!I8</f>
        <v>17703920.55</v>
      </c>
      <c r="I124" s="159">
        <f>'[1]5100'!J8+'[2]5100'!J8+'[3]5100'!J8+'[4]5100'!J8+'[5]5100'!J8</f>
        <v>25503834.05</v>
      </c>
      <c r="J124" s="159">
        <f>'[1]5100'!K8+'[2]5100'!K8+'[3]5100'!K8+'[4]5100'!K8+'[5]5100'!K8</f>
        <v>537918.6899999995</v>
      </c>
    </row>
    <row r="125" spans="2:10" ht="12.75" hidden="1">
      <c r="B125" s="160" t="s">
        <v>296</v>
      </c>
      <c r="C125" s="159">
        <f>'[1]5100'!D10+'[2]5100'!D10+'[3]5100'!D10+'[4]5100'!D10+'[5]5100'!D10</f>
        <v>174829889.07</v>
      </c>
      <c r="D125" s="159">
        <f>'[1]5100'!E10+'[2]5100'!E10+'[3]5100'!E10+'[4]5100'!E10+'[5]5100'!E10</f>
        <v>204907031.99</v>
      </c>
      <c r="E125" s="159">
        <f>'[1]5100'!F10+'[2]5100'!F10+'[3]5100'!F10+'[4]5100'!F10+'[5]5100'!F10</f>
        <v>379736921.06000006</v>
      </c>
      <c r="F125" s="159">
        <f>'[1]5100'!G10+'[2]5100'!G10+'[3]5100'!G10+'[4]5100'!G10+'[5]5100'!G10</f>
        <v>177335024.97999996</v>
      </c>
      <c r="G125" s="159">
        <f>'[1]5100'!H10+'[2]5100'!H10+'[3]5100'!H10+'[4]5100'!H10+'[5]5100'!H10</f>
        <v>194051500.26</v>
      </c>
      <c r="H125" s="159">
        <f>'[1]5100'!I10+'[2]5100'!I10+'[3]5100'!I10+'[4]5100'!I10+'[5]5100'!I10</f>
        <v>185685420.8</v>
      </c>
      <c r="I125" s="159">
        <f>'[1]5100'!J10+'[2]5100'!J10+'[3]5100'!J10+'[4]5100'!J10+'[5]5100'!J10</f>
        <v>185849231.10000002</v>
      </c>
      <c r="J125" s="159">
        <f>'[1]5100'!K10+'[2]5100'!K10+'[3]5100'!K10+'[4]5100'!K10+'[5]5100'!K10</f>
        <v>8202269.159999987</v>
      </c>
    </row>
    <row r="126" spans="2:10" ht="12.75" hidden="1">
      <c r="B126" s="160" t="s">
        <v>297</v>
      </c>
      <c r="C126" s="159">
        <f>'[1]5100'!D11+'[2]5100'!D11+'[3]5100'!D11+'[4]5100'!D11+'[5]5100'!D11</f>
        <v>4732055.48</v>
      </c>
      <c r="D126" s="159">
        <f>'[1]5100'!E11+'[2]5100'!E11+'[3]5100'!E11+'[4]5100'!E11+'[5]5100'!E11</f>
        <v>1821474.7600000002</v>
      </c>
      <c r="E126" s="159">
        <f>'[1]5100'!F11+'[2]5100'!F11+'[3]5100'!F11+'[4]5100'!F11+'[5]5100'!F11</f>
        <v>6553530.24</v>
      </c>
      <c r="F126" s="159">
        <f>'[1]5100'!G11+'[2]5100'!G11+'[3]5100'!G11+'[4]5100'!G11+'[5]5100'!G11</f>
        <v>2504396.6199999996</v>
      </c>
      <c r="G126" s="159">
        <f>'[1]5100'!H11+'[2]5100'!H11+'[3]5100'!H11+'[4]5100'!H11+'[5]5100'!H11</f>
        <v>2661993.0999999996</v>
      </c>
      <c r="H126" s="159">
        <f>'[1]5100'!I11+'[2]5100'!I11+'[3]5100'!I11+'[4]5100'!I11+'[5]5100'!I11</f>
        <v>3891537.14</v>
      </c>
      <c r="I126" s="159">
        <f>'[1]5100'!J11+'[2]5100'!J11+'[3]5100'!J11+'[4]5100'!J11+'[5]5100'!J11</f>
        <v>2224604.99</v>
      </c>
      <c r="J126" s="159">
        <f>'[1]5100'!K11+'[2]5100'!K11+'[3]5100'!K11+'[4]5100'!K11+'[5]5100'!K11</f>
        <v>437388.10999999975</v>
      </c>
    </row>
    <row r="127" spans="2:10" ht="12.75" hidden="1">
      <c r="B127" s="160" t="s">
        <v>298</v>
      </c>
      <c r="C127" s="159">
        <f>'[1]5100'!D12+'[2]5100'!D12+'[3]5100'!D12+'[4]5100'!D12+'[5]5100'!D12</f>
        <v>57813.66</v>
      </c>
      <c r="D127" s="159">
        <f>'[1]5100'!E12+'[2]5100'!E12+'[3]5100'!E12+'[4]5100'!E12+'[5]5100'!E12</f>
        <v>99348</v>
      </c>
      <c r="E127" s="159">
        <f>'[1]5100'!F12+'[2]5100'!F12+'[3]5100'!F12+'[4]5100'!F12+'[5]5100'!F12</f>
        <v>157161.66</v>
      </c>
      <c r="F127" s="159">
        <f>'[1]5100'!G12+'[2]5100'!G12+'[3]5100'!G12+'[4]5100'!G12+'[5]5100'!G12</f>
        <v>138790</v>
      </c>
      <c r="G127" s="159">
        <f>'[1]5100'!H12+'[2]5100'!H12+'[3]5100'!H12+'[4]5100'!H12+'[5]5100'!H12</f>
        <v>138790</v>
      </c>
      <c r="H127" s="159">
        <f>'[1]5100'!I12+'[2]5100'!I12+'[3]5100'!I12+'[4]5100'!I12+'[5]5100'!I12</f>
        <v>18371.660000000003</v>
      </c>
      <c r="I127" s="159">
        <f>'[1]5100'!J12+'[2]5100'!J12+'[3]5100'!J12+'[4]5100'!J12+'[5]5100'!J12</f>
        <v>138790</v>
      </c>
      <c r="J127" s="159">
        <f>'[1]5100'!K12+'[2]5100'!K12+'[3]5100'!K12+'[4]5100'!K12+'[5]5100'!K12</f>
        <v>0</v>
      </c>
    </row>
    <row r="128" spans="2:10" ht="12.75" hidden="1">
      <c r="B128" s="160" t="s">
        <v>299</v>
      </c>
      <c r="C128" s="159">
        <f>'[1]5100'!D13+'[2]5100'!D13+'[3]5100'!D13+'[4]5100'!D13+'[5]5100'!D13</f>
        <v>16669644.779999997</v>
      </c>
      <c r="D128" s="159">
        <f>'[1]5100'!E13+'[2]5100'!E13+'[3]5100'!E13+'[4]5100'!E13+'[5]5100'!E13</f>
        <v>2573898.68</v>
      </c>
      <c r="E128" s="159">
        <f>'[1]5100'!F13+'[2]5100'!F13+'[3]5100'!F13+'[4]5100'!F13+'[5]5100'!F13</f>
        <v>19243543.459999997</v>
      </c>
      <c r="F128" s="159">
        <f>'[1]5100'!G13+'[2]5100'!G13+'[3]5100'!G13+'[4]5100'!G13+'[5]5100'!G13</f>
        <v>19223468.06</v>
      </c>
      <c r="G128" s="159">
        <f>'[1]5100'!H13+'[2]5100'!H13+'[3]5100'!H13+'[4]5100'!H13+'[5]5100'!H13</f>
        <v>19238817.93</v>
      </c>
      <c r="H128" s="159">
        <f>'[1]5100'!I13+'[2]5100'!I13+'[3]5100'!I13+'[4]5100'!I13+'[5]5100'!I13</f>
        <v>4725.529999999329</v>
      </c>
      <c r="I128" s="159">
        <f>'[1]5100'!J13+'[2]5100'!J13+'[3]5100'!J13+'[4]5100'!J13+'[5]5100'!J13</f>
        <v>19238817.93</v>
      </c>
      <c r="J128" s="159">
        <f>'[1]5100'!K13+'[2]5100'!K13+'[3]5100'!K13+'[4]5100'!K13+'[5]5100'!K13</f>
        <v>0</v>
      </c>
    </row>
    <row r="129" spans="2:10" ht="13.5" hidden="1" thickBot="1">
      <c r="B129" s="161" t="s">
        <v>300</v>
      </c>
      <c r="C129" s="162">
        <f aca="true" t="shared" si="17" ref="C129:J129">SUM(C121:C128)</f>
        <v>1033912124.6199998</v>
      </c>
      <c r="D129" s="162">
        <f t="shared" si="17"/>
        <v>306297426.46</v>
      </c>
      <c r="E129" s="162">
        <f t="shared" si="17"/>
        <v>1340209551.0800002</v>
      </c>
      <c r="F129" s="162">
        <f t="shared" si="17"/>
        <v>890927144.0699998</v>
      </c>
      <c r="G129" s="162">
        <f t="shared" si="17"/>
        <v>1059050963.4200001</v>
      </c>
      <c r="H129" s="162">
        <f t="shared" si="17"/>
        <v>281158587.66</v>
      </c>
      <c r="I129" s="162">
        <f t="shared" si="17"/>
        <v>1023096647.64</v>
      </c>
      <c r="J129" s="163">
        <f t="shared" si="17"/>
        <v>35954315.77999998</v>
      </c>
    </row>
    <row r="130" ht="12.75" hidden="1"/>
    <row r="131" ht="13.5" hidden="1" thickBot="1"/>
    <row r="132" spans="2:9" ht="76.5" hidden="1">
      <c r="B132" s="147" t="s">
        <v>313</v>
      </c>
      <c r="C132" s="168" t="s">
        <v>301</v>
      </c>
      <c r="D132" s="169"/>
      <c r="E132" s="170"/>
      <c r="F132" s="148" t="s">
        <v>302</v>
      </c>
      <c r="G132" s="148" t="s">
        <v>303</v>
      </c>
      <c r="H132" s="148" t="s">
        <v>304</v>
      </c>
      <c r="I132" s="149" t="s">
        <v>305</v>
      </c>
    </row>
    <row r="133" spans="2:9" ht="12.75" hidden="1">
      <c r="B133" s="150"/>
      <c r="C133" s="151" t="s">
        <v>281</v>
      </c>
      <c r="D133" s="151" t="s">
        <v>282</v>
      </c>
      <c r="E133" s="151" t="s">
        <v>283</v>
      </c>
      <c r="F133" s="152"/>
      <c r="G133" s="152"/>
      <c r="H133" s="152"/>
      <c r="I133" s="153"/>
    </row>
    <row r="134" spans="2:9" ht="12.75" hidden="1">
      <c r="B134" s="154"/>
      <c r="C134" s="155" t="s">
        <v>284</v>
      </c>
      <c r="D134" s="155" t="s">
        <v>285</v>
      </c>
      <c r="E134" s="155" t="s">
        <v>286</v>
      </c>
      <c r="F134" s="156" t="s">
        <v>288</v>
      </c>
      <c r="G134" s="156" t="s">
        <v>287</v>
      </c>
      <c r="H134" s="156" t="s">
        <v>289</v>
      </c>
      <c r="I134" s="157" t="s">
        <v>290</v>
      </c>
    </row>
    <row r="135" spans="2:9" ht="12.75" hidden="1">
      <c r="B135" s="158" t="s">
        <v>306</v>
      </c>
      <c r="C135" s="159">
        <f>'[1]5100'!D20+'[2]5100'!D20+'[3]5100'!D20+'[4]5100'!D20+'[5]5100'!D20</f>
        <v>0</v>
      </c>
      <c r="D135" s="159">
        <f>'[1]5100'!E20+'[2]5100'!E20+'[3]5100'!E20+'[4]5100'!E20+'[5]5100'!E20</f>
        <v>0</v>
      </c>
      <c r="E135" s="159">
        <f>'[1]5100'!F20+'[2]5100'!F20+'[3]5100'!F20+'[4]5100'!F20+'[5]5100'!F20</f>
        <v>0</v>
      </c>
      <c r="F135" s="159">
        <f>'[1]5100'!G20+'[2]5100'!G20+'[3]5100'!G20+'[4]5100'!G20+'[5]5100'!G20</f>
        <v>0</v>
      </c>
      <c r="G135" s="159">
        <f>'[1]5100'!H20+'[2]5100'!H20+'[3]5100'!H20+'[4]5100'!H20+'[5]5100'!H20</f>
        <v>0</v>
      </c>
      <c r="H135" s="159">
        <f>'[1]5100'!I20+'[2]5100'!I20+'[3]5100'!I20+'[4]5100'!I20+'[5]5100'!I20</f>
        <v>0</v>
      </c>
      <c r="I135" s="159">
        <f>'[1]5100'!J20+'[2]5100'!J20+'[3]5100'!J20+'[4]5100'!J20+'[5]5100'!J20</f>
        <v>0</v>
      </c>
    </row>
    <row r="136" spans="2:9" ht="12.75" hidden="1">
      <c r="B136" s="160" t="s">
        <v>307</v>
      </c>
      <c r="C136" s="159">
        <f>'[1]5100'!D21+'[2]5100'!D21+'[3]5100'!D21+'[4]5100'!D21+'[5]5100'!D21</f>
        <v>0</v>
      </c>
      <c r="D136" s="159">
        <f>'[1]5100'!E21+'[2]5100'!E21+'[3]5100'!E21+'[4]5100'!E21+'[5]5100'!E21</f>
        <v>0</v>
      </c>
      <c r="E136" s="159">
        <f>'[1]5100'!F21+'[2]5100'!F21+'[3]5100'!F21+'[4]5100'!F21+'[5]5100'!F21</f>
        <v>0</v>
      </c>
      <c r="F136" s="159">
        <f>'[1]5100'!G21+'[2]5100'!G21+'[3]5100'!G21+'[4]5100'!G21+'[5]5100'!G21</f>
        <v>0</v>
      </c>
      <c r="G136" s="159">
        <f>'[1]5100'!H21+'[2]5100'!H21+'[3]5100'!H21+'[4]5100'!H21+'[5]5100'!H21</f>
        <v>0</v>
      </c>
      <c r="H136" s="159">
        <f>'[1]5100'!I21+'[2]5100'!I21+'[3]5100'!I21+'[4]5100'!I21+'[5]5100'!I21</f>
        <v>0</v>
      </c>
      <c r="I136" s="159">
        <f>'[1]5100'!J21+'[2]5100'!J21+'[3]5100'!J21+'[4]5100'!J21+'[5]5100'!J21</f>
        <v>0</v>
      </c>
    </row>
    <row r="137" spans="2:9" ht="12.75" hidden="1">
      <c r="B137" s="160" t="s">
        <v>308</v>
      </c>
      <c r="C137" s="159">
        <f>'[1]5100'!D22+'[2]5100'!D22+'[3]5100'!D22+'[4]5100'!D22+'[5]5100'!D22</f>
        <v>223396090.38000003</v>
      </c>
      <c r="D137" s="159">
        <f>'[1]5100'!E22+'[2]5100'!E22+'[3]5100'!E22+'[4]5100'!E22+'[5]5100'!E22</f>
        <v>22927555.699999996</v>
      </c>
      <c r="E137" s="159">
        <f>'[1]5100'!F22+'[2]5100'!F22+'[3]5100'!F22+'[4]5100'!F22+'[5]5100'!F22</f>
        <v>246323646.07999998</v>
      </c>
      <c r="F137" s="159">
        <f>'[1]5100'!G22+'[2]5100'!G22+'[3]5100'!G22+'[4]5100'!G22+'[5]5100'!G22</f>
        <v>240646956.13</v>
      </c>
      <c r="G137" s="159">
        <f>'[1]5100'!H22+'[2]5100'!H22+'[3]5100'!H22+'[4]5100'!H22+'[5]5100'!H22</f>
        <v>205298098.21</v>
      </c>
      <c r="H137" s="159">
        <f>'[1]5100'!I22+'[2]5100'!I22+'[3]5100'!I22+'[4]5100'!I22+'[5]5100'!I22</f>
        <v>15279471.53</v>
      </c>
      <c r="I137" s="159">
        <f>'[1]5100'!J22+'[2]5100'!J22+'[3]5100'!J22+'[4]5100'!J22+'[5]5100'!J22</f>
        <v>35348857.92</v>
      </c>
    </row>
    <row r="138" spans="2:9" ht="12.75" hidden="1">
      <c r="B138" s="160" t="s">
        <v>295</v>
      </c>
      <c r="C138" s="159">
        <f>'[1]5100'!D23+'[2]5100'!D23+'[3]5100'!D23+'[4]5100'!D23+'[5]5100'!D23</f>
        <v>726405519.8399999</v>
      </c>
      <c r="D138" s="159">
        <f>'[1]5100'!E23+'[2]5100'!E23+'[3]5100'!E23+'[4]5100'!E23+'[5]5100'!E23</f>
        <v>23727326.13</v>
      </c>
      <c r="E138" s="159">
        <f>'[1]5100'!F23+'[2]5100'!F23+'[3]5100'!F23+'[4]5100'!F23+'[5]5100'!F23</f>
        <v>750132845.97</v>
      </c>
      <c r="F138" s="159">
        <f>'[1]5100'!G23+'[2]5100'!G23+'[3]5100'!G23+'[4]5100'!G23+'[5]5100'!G23</f>
        <v>750162756.6600001</v>
      </c>
      <c r="G138" s="159">
        <f>'[1]5100'!H23+'[2]5100'!H23+'[3]5100'!H23+'[4]5100'!H23+'[5]5100'!H23</f>
        <v>561906241.91</v>
      </c>
      <c r="H138" s="159">
        <f>'[1]5100'!I23+'[2]5100'!I23+'[3]5100'!I23+'[4]5100'!I23+'[5]5100'!I23</f>
        <v>0</v>
      </c>
      <c r="I138" s="159">
        <f>'[1]5100'!J23+'[2]5100'!J23+'[3]5100'!J23+'[4]5100'!J23+'[5]5100'!J23</f>
        <v>188256514.74999997</v>
      </c>
    </row>
    <row r="139" spans="2:9" ht="12.75" hidden="1">
      <c r="B139" s="160" t="s">
        <v>309</v>
      </c>
      <c r="C139" s="159">
        <f>'[1]5100'!D24+'[2]5100'!D24+'[3]5100'!D24+'[4]5100'!D24+'[5]5100'!D24</f>
        <v>4245950</v>
      </c>
      <c r="D139" s="159">
        <f>'[1]5100'!E24+'[2]5100'!E24+'[3]5100'!E24+'[4]5100'!E24+'[5]5100'!E24</f>
        <v>1052790.85</v>
      </c>
      <c r="E139" s="159">
        <f>'[1]5100'!F24+'[2]5100'!F24+'[3]5100'!F24+'[4]5100'!F24+'[5]5100'!F24</f>
        <v>5298740.850000001</v>
      </c>
      <c r="F139" s="159">
        <f>'[1]5100'!G24+'[2]5100'!G24+'[3]5100'!G24+'[4]5100'!G24+'[5]5100'!G24</f>
        <v>4538044.85</v>
      </c>
      <c r="G139" s="159">
        <f>'[1]5100'!H24+'[2]5100'!H24+'[3]5100'!H24+'[4]5100'!H24+'[5]5100'!H24</f>
        <v>3656584.04</v>
      </c>
      <c r="H139" s="159">
        <f>'[1]5100'!I24+'[2]5100'!I24+'[3]5100'!I24+'[4]5100'!I24+'[5]5100'!I24</f>
        <v>0</v>
      </c>
      <c r="I139" s="159">
        <f>'[1]5100'!J24+'[2]5100'!J24+'[3]5100'!J24+'[4]5100'!J24+'[5]5100'!J24</f>
        <v>881460.8099999999</v>
      </c>
    </row>
    <row r="140" spans="2:9" ht="12.75" hidden="1">
      <c r="B140" s="160" t="s">
        <v>310</v>
      </c>
      <c r="C140" s="159">
        <f>'[1]5100'!D25+'[2]5100'!D25+'[3]5100'!D25+'[4]5100'!D25+'[5]5100'!D25</f>
        <v>0</v>
      </c>
      <c r="D140" s="159">
        <f>'[1]5100'!E25+'[2]5100'!E25+'[3]5100'!E25+'[4]5100'!E25+'[5]5100'!E25</f>
        <v>35493.09</v>
      </c>
      <c r="E140" s="159">
        <f>'[1]5100'!F25+'[2]5100'!F25+'[3]5100'!F25+'[4]5100'!F25+'[5]5100'!F25</f>
        <v>35493.09</v>
      </c>
      <c r="F140" s="159">
        <f>'[1]5100'!G25+'[2]5100'!G25+'[3]5100'!G25+'[4]5100'!G25+'[5]5100'!G25</f>
        <v>49782.27</v>
      </c>
      <c r="G140" s="159">
        <f>'[1]5100'!H25+'[2]5100'!H25+'[3]5100'!H25+'[4]5100'!H25+'[5]5100'!H25</f>
        <v>44030.39</v>
      </c>
      <c r="H140" s="159">
        <f>'[1]5100'!I25+'[2]5100'!I25+'[3]5100'!I25+'[4]5100'!I25+'[5]5100'!I25</f>
        <v>90.7</v>
      </c>
      <c r="I140" s="159">
        <f>'[1]5100'!J25+'[2]5100'!J25+'[3]5100'!J25+'[4]5100'!J25+'[5]5100'!J25</f>
        <v>5751.879999999999</v>
      </c>
    </row>
    <row r="141" spans="2:9" ht="12.75" hidden="1">
      <c r="B141" s="160" t="s">
        <v>297</v>
      </c>
      <c r="C141" s="159">
        <f>'[1]5100'!D26+'[2]5100'!D26+'[3]5100'!D26+'[4]5100'!D26+'[5]5100'!D26</f>
        <v>79864564.39999999</v>
      </c>
      <c r="D141" s="159">
        <f>'[1]5100'!E26+'[2]5100'!E26+'[3]5100'!E26+'[4]5100'!E26+'[5]5100'!E26</f>
        <v>24379931.28</v>
      </c>
      <c r="E141" s="159">
        <f>'[1]5100'!F26+'[2]5100'!F26+'[3]5100'!F26+'[4]5100'!F26+'[5]5100'!F26</f>
        <v>104244495.67999999</v>
      </c>
      <c r="F141" s="159">
        <f>'[1]5100'!G26+'[2]5100'!G26+'[3]5100'!G26+'[4]5100'!G26+'[5]5100'!G26</f>
        <v>105978556.3</v>
      </c>
      <c r="G141" s="159">
        <f>'[1]5100'!H26+'[2]5100'!H26+'[3]5100'!H26+'[4]5100'!H26+'[5]5100'!H26</f>
        <v>71422743.83</v>
      </c>
      <c r="H141" s="159">
        <f>'[1]5100'!I26+'[2]5100'!I26+'[3]5100'!I26+'[4]5100'!I26+'[5]5100'!I26</f>
        <v>0</v>
      </c>
      <c r="I141" s="159">
        <f>'[1]5100'!J26+'[2]5100'!J26+'[3]5100'!J26+'[4]5100'!J26+'[5]5100'!J26</f>
        <v>34555812.47</v>
      </c>
    </row>
    <row r="142" spans="2:9" ht="12.75" hidden="1">
      <c r="B142" s="160" t="s">
        <v>298</v>
      </c>
      <c r="C142" s="159">
        <f>'[1]5100'!D27+'[2]5100'!D27+'[3]5100'!D27+'[4]5100'!D27+'[5]5100'!D27</f>
        <v>0</v>
      </c>
      <c r="D142" s="159">
        <f>'[1]5100'!E27+'[2]5100'!E27+'[3]5100'!E27+'[4]5100'!E27+'[5]5100'!E27</f>
        <v>226920763.3</v>
      </c>
      <c r="E142" s="159">
        <f>'[1]5100'!F27+'[2]5100'!F27+'[3]5100'!F27+'[4]5100'!F27+'[5]5100'!F27</f>
        <v>226920763.3</v>
      </c>
      <c r="F142" s="159">
        <f>'[1]5100'!G27+'[2]5100'!G27+'[3]5100'!G27+'[4]5100'!G27+'[5]5100'!G27</f>
        <v>151226.66999999998</v>
      </c>
      <c r="G142" s="159">
        <f>'[1]5100'!H27+'[2]5100'!H27+'[3]5100'!H27+'[4]5100'!H27+'[5]5100'!H27</f>
        <v>151226.66999999998</v>
      </c>
      <c r="H142" s="159">
        <f>'[1]5100'!I27+'[2]5100'!I27+'[3]5100'!I27+'[4]5100'!I27+'[5]5100'!I27</f>
        <v>0</v>
      </c>
      <c r="I142" s="159">
        <f>'[1]5100'!J27+'[2]5100'!J27+'[3]5100'!J27+'[4]5100'!J27+'[5]5100'!J27</f>
        <v>0</v>
      </c>
    </row>
    <row r="143" spans="2:9" ht="12.75" hidden="1">
      <c r="B143" s="164" t="s">
        <v>299</v>
      </c>
      <c r="C143" s="159">
        <f>'[1]5100'!D28+'[2]5100'!D28+'[3]5100'!D28+'[4]5100'!D28+'[5]5100'!D28</f>
        <v>0</v>
      </c>
      <c r="D143" s="159">
        <f>'[1]5100'!E28+'[2]5100'!E28+'[3]5100'!E28+'[4]5100'!E28+'[5]5100'!E28</f>
        <v>7253565.91</v>
      </c>
      <c r="E143" s="159">
        <f>'[1]5100'!F28+'[2]5100'!F28+'[3]5100'!F28+'[4]5100'!F28+'[5]5100'!F28</f>
        <v>7253565.91</v>
      </c>
      <c r="F143" s="159">
        <f>'[1]5100'!G28+'[2]5100'!G28+'[3]5100'!G28+'[4]5100'!G28+'[5]5100'!G28</f>
        <v>13342812.990000002</v>
      </c>
      <c r="G143" s="159">
        <f>'[1]5100'!H28+'[2]5100'!H28+'[3]5100'!H28+'[4]5100'!H28+'[5]5100'!H28</f>
        <v>13342812.990000002</v>
      </c>
      <c r="H143" s="159">
        <f>'[1]5100'!I28+'[2]5100'!I28+'[3]5100'!I28+'[4]5100'!I28+'[5]5100'!I28</f>
        <v>0</v>
      </c>
      <c r="I143" s="159">
        <f>'[1]5100'!J28+'[2]5100'!J28+'[3]5100'!J28+'[4]5100'!J28+'[5]5100'!J28</f>
        <v>0</v>
      </c>
    </row>
    <row r="144" spans="2:9" ht="13.5" hidden="1" thickBot="1">
      <c r="B144" s="161" t="s">
        <v>311</v>
      </c>
      <c r="C144" s="162">
        <f aca="true" t="shared" si="18" ref="C144:I144">SUM(C135:C143)</f>
        <v>1033912124.6199999</v>
      </c>
      <c r="D144" s="162">
        <f t="shared" si="18"/>
        <v>306297426.26000005</v>
      </c>
      <c r="E144" s="162">
        <f t="shared" si="18"/>
        <v>1340209550.88</v>
      </c>
      <c r="F144" s="162">
        <f t="shared" si="18"/>
        <v>1114870135.8700001</v>
      </c>
      <c r="G144" s="162">
        <f t="shared" si="18"/>
        <v>855821738.04</v>
      </c>
      <c r="H144" s="162">
        <f t="shared" si="18"/>
        <v>15279562.229999999</v>
      </c>
      <c r="I144" s="163">
        <f t="shared" si="18"/>
        <v>259048397.82999995</v>
      </c>
    </row>
    <row r="145" ht="12.75" hidden="1"/>
    <row r="146" ht="12.75" hidden="1"/>
    <row r="147" ht="12.75" hidden="1"/>
    <row r="148" ht="13.5" hidden="1" thickBot="1"/>
    <row r="149" spans="1:7" ht="15.75" hidden="1">
      <c r="A149" s="227" t="s">
        <v>316</v>
      </c>
      <c r="B149" s="227"/>
      <c r="C149" s="27"/>
      <c r="D149" s="128"/>
      <c r="E149" s="128"/>
      <c r="F149" s="129"/>
      <c r="G149" s="128"/>
    </row>
    <row r="150" spans="1:7" ht="47.25" hidden="1">
      <c r="A150" s="228"/>
      <c r="B150" s="228"/>
      <c r="C150" s="228"/>
      <c r="D150" s="131" t="s">
        <v>226</v>
      </c>
      <c r="E150" s="131" t="s">
        <v>227</v>
      </c>
      <c r="F150" s="31"/>
      <c r="G150" s="130" t="s">
        <v>228</v>
      </c>
    </row>
    <row r="151" spans="1:7" ht="15.75" hidden="1">
      <c r="A151" s="229" t="s">
        <v>14</v>
      </c>
      <c r="B151" s="229"/>
      <c r="C151" s="229"/>
      <c r="D151" s="131" t="s">
        <v>229</v>
      </c>
      <c r="E151" s="131" t="s">
        <v>230</v>
      </c>
      <c r="F151" s="132" t="s">
        <v>231</v>
      </c>
      <c r="G151" s="131" t="s">
        <v>232</v>
      </c>
    </row>
    <row r="152" spans="1:7" ht="15.75" hidden="1">
      <c r="A152" s="133" t="s">
        <v>233</v>
      </c>
      <c r="B152" s="108" t="s">
        <v>234</v>
      </c>
      <c r="C152" s="117"/>
      <c r="D152" s="117">
        <v>0</v>
      </c>
      <c r="E152" s="117">
        <v>0</v>
      </c>
      <c r="F152" s="117"/>
      <c r="G152" s="117">
        <f aca="true" t="shared" si="19" ref="G152:G158">D152-E152</f>
        <v>0</v>
      </c>
    </row>
    <row r="153" spans="1:7" ht="15.75" hidden="1">
      <c r="A153" s="41" t="s">
        <v>235</v>
      </c>
      <c r="B153" s="31" t="s">
        <v>236</v>
      </c>
      <c r="C153" s="116"/>
      <c r="D153" s="117">
        <v>0</v>
      </c>
      <c r="E153" s="117">
        <v>0</v>
      </c>
      <c r="F153" s="116"/>
      <c r="G153" s="116">
        <f t="shared" si="19"/>
        <v>0</v>
      </c>
    </row>
    <row r="154" spans="1:7" ht="15.75" hidden="1">
      <c r="A154" s="41" t="s">
        <v>237</v>
      </c>
      <c r="B154" s="31" t="s">
        <v>238</v>
      </c>
      <c r="C154" s="116"/>
      <c r="D154" s="117">
        <v>0</v>
      </c>
      <c r="E154" s="117">
        <v>0</v>
      </c>
      <c r="F154" s="116"/>
      <c r="G154" s="116">
        <f t="shared" si="19"/>
        <v>0</v>
      </c>
    </row>
    <row r="155" spans="1:7" ht="15.75" hidden="1">
      <c r="A155" s="134" t="s">
        <v>239</v>
      </c>
      <c r="B155" s="134"/>
      <c r="C155" s="135"/>
      <c r="D155" s="117">
        <v>0</v>
      </c>
      <c r="E155" s="117">
        <v>0</v>
      </c>
      <c r="F155" s="116"/>
      <c r="G155" s="135">
        <f t="shared" si="19"/>
        <v>0</v>
      </c>
    </row>
    <row r="156" spans="1:7" ht="15.75" hidden="1">
      <c r="A156" s="41" t="s">
        <v>240</v>
      </c>
      <c r="B156" s="31" t="s">
        <v>212</v>
      </c>
      <c r="C156" s="116"/>
      <c r="D156" s="117">
        <v>0</v>
      </c>
      <c r="E156" s="117">
        <v>0</v>
      </c>
      <c r="F156" s="116"/>
      <c r="G156" s="116">
        <f t="shared" si="19"/>
        <v>0</v>
      </c>
    </row>
    <row r="157" spans="1:7" ht="15.75" hidden="1">
      <c r="A157" s="41" t="s">
        <v>241</v>
      </c>
      <c r="B157" s="31" t="s">
        <v>242</v>
      </c>
      <c r="C157" s="116"/>
      <c r="D157" s="117">
        <v>0</v>
      </c>
      <c r="E157" s="117">
        <v>0</v>
      </c>
      <c r="F157" s="116"/>
      <c r="G157" s="116">
        <f t="shared" si="19"/>
        <v>0</v>
      </c>
    </row>
    <row r="158" spans="1:7" ht="15.75" hidden="1">
      <c r="A158" s="108" t="s">
        <v>243</v>
      </c>
      <c r="B158" s="108"/>
      <c r="C158" s="117"/>
      <c r="D158" s="117">
        <v>0</v>
      </c>
      <c r="E158" s="117">
        <v>0</v>
      </c>
      <c r="F158" s="116"/>
      <c r="G158" s="135">
        <f t="shared" si="19"/>
        <v>0</v>
      </c>
    </row>
    <row r="159" spans="1:10" ht="15.75" hidden="1">
      <c r="A159" s="230" t="s">
        <v>244</v>
      </c>
      <c r="B159" s="230"/>
      <c r="C159" s="230"/>
      <c r="D159" s="117">
        <v>0</v>
      </c>
      <c r="E159" s="117">
        <v>0</v>
      </c>
      <c r="F159" s="116"/>
      <c r="G159" s="136">
        <f>G155+G158</f>
        <v>0</v>
      </c>
      <c r="J159" s="26"/>
    </row>
    <row r="160" spans="1:10" ht="15.75" hidden="1">
      <c r="A160" s="137" t="s">
        <v>245</v>
      </c>
      <c r="B160" s="31"/>
      <c r="C160" s="116"/>
      <c r="D160" s="116"/>
      <c r="E160" s="116"/>
      <c r="F160" s="116"/>
      <c r="G160" s="117"/>
      <c r="J160" s="26"/>
    </row>
    <row r="161" spans="1:7" ht="15.75" hidden="1">
      <c r="A161" s="141" t="s">
        <v>246</v>
      </c>
      <c r="B161" s="31"/>
      <c r="C161" s="116"/>
      <c r="D161" s="116"/>
      <c r="E161" s="116"/>
      <c r="F161" s="116">
        <v>0</v>
      </c>
      <c r="G161" s="116"/>
    </row>
    <row r="162" spans="1:7" ht="15.75" hidden="1">
      <c r="A162" s="141" t="s">
        <v>247</v>
      </c>
      <c r="B162" s="31"/>
      <c r="C162" s="116"/>
      <c r="D162" s="116"/>
      <c r="E162" s="116"/>
      <c r="F162" s="116">
        <v>0</v>
      </c>
      <c r="G162" s="116"/>
    </row>
    <row r="163" spans="1:7" ht="15.75" hidden="1">
      <c r="A163" s="141" t="s">
        <v>248</v>
      </c>
      <c r="B163" s="31"/>
      <c r="C163" s="116"/>
      <c r="D163" s="116"/>
      <c r="E163" s="116"/>
      <c r="F163" s="116">
        <v>0</v>
      </c>
      <c r="G163" s="116"/>
    </row>
    <row r="164" spans="1:7" ht="15.75" hidden="1">
      <c r="A164" s="230" t="s">
        <v>249</v>
      </c>
      <c r="B164" s="230"/>
      <c r="C164" s="230"/>
      <c r="D164" s="230"/>
      <c r="E164" s="230"/>
      <c r="F164" s="142">
        <f>F161+F162-F163</f>
        <v>0</v>
      </c>
      <c r="G164" s="116"/>
    </row>
    <row r="165" spans="1:7" ht="16.5" hidden="1" thickBot="1">
      <c r="A165" s="226" t="s">
        <v>250</v>
      </c>
      <c r="B165" s="226"/>
      <c r="C165" s="226"/>
      <c r="D165" s="226"/>
      <c r="E165" s="226"/>
      <c r="F165" s="226"/>
      <c r="G165" s="143">
        <f>G159+F164</f>
        <v>0</v>
      </c>
    </row>
    <row r="166" ht="13.5" hidden="1" thickBot="1"/>
    <row r="167" spans="1:7" ht="15.75" hidden="1">
      <c r="A167" s="227" t="s">
        <v>317</v>
      </c>
      <c r="B167" s="227"/>
      <c r="C167" s="27"/>
      <c r="D167" s="128"/>
      <c r="E167" s="128"/>
      <c r="F167" s="129"/>
      <c r="G167" s="128"/>
    </row>
    <row r="168" spans="1:7" ht="47.25" hidden="1">
      <c r="A168" s="228"/>
      <c r="B168" s="228"/>
      <c r="C168" s="228"/>
      <c r="D168" s="131" t="s">
        <v>226</v>
      </c>
      <c r="E168" s="131" t="s">
        <v>227</v>
      </c>
      <c r="F168" s="31"/>
      <c r="G168" s="130" t="s">
        <v>228</v>
      </c>
    </row>
    <row r="169" spans="1:7" ht="15.75" hidden="1">
      <c r="A169" s="229" t="s">
        <v>14</v>
      </c>
      <c r="B169" s="229"/>
      <c r="C169" s="229"/>
      <c r="D169" s="131" t="s">
        <v>229</v>
      </c>
      <c r="E169" s="131" t="s">
        <v>230</v>
      </c>
      <c r="F169" s="132" t="s">
        <v>231</v>
      </c>
      <c r="G169" s="131" t="s">
        <v>232</v>
      </c>
    </row>
    <row r="170" spans="1:7" ht="15.75" hidden="1">
      <c r="A170" s="133" t="s">
        <v>233</v>
      </c>
      <c r="B170" s="108" t="s">
        <v>234</v>
      </c>
      <c r="C170" s="117"/>
      <c r="D170" s="117">
        <f>SUM('[1]5100'!$G$20:$G$24)+SUM('[2]5100'!$G$20:$G$24)+SUM('[3]5100'!$G$20:$G$24)+SUM('[4]5100'!$G$20:$G$24)+SUM('[5]5100'!$G$20:$G$24)</f>
        <v>995347757.64</v>
      </c>
      <c r="E170" s="117">
        <f>SUM('[1]5100'!$H$5:$H$8)+SUM('[2]5100'!$H$5:$H$8)+SUM('[3]5100'!$H$5:$H$8)+SUM('[4]5100'!$H$5:$H$8)+SUM('[5]5100'!$H$5:$H$8)</f>
        <v>842959862.13</v>
      </c>
      <c r="F170" s="117"/>
      <c r="G170" s="117">
        <f aca="true" t="shared" si="20" ref="G170:G176">D170-E170</f>
        <v>152387895.51</v>
      </c>
    </row>
    <row r="171" spans="1:7" ht="15.75" hidden="1">
      <c r="A171" s="41" t="s">
        <v>235</v>
      </c>
      <c r="B171" s="31" t="s">
        <v>236</v>
      </c>
      <c r="C171" s="116"/>
      <c r="D171" s="116">
        <f>SUM('[1]5100'!$G$25:$G$26)+SUM('[2]5100'!$G$25:$G$26)+SUM('[3]5100'!$G$25:$G$26)+SUM('[4]5100'!$G$25:$G$26)+SUM('[5]5100'!$G$25:$G$26)</f>
        <v>106028338.57000001</v>
      </c>
      <c r="E171" s="116">
        <f>SUM('[1]5100'!$H$10:$H$11)+SUM('[2]5100'!$H$10:$H$11)+SUM('[3]5100'!$H$10:$H$11)+SUM('[4]5100'!$H$10:$H$11)+SUM('[5]5100'!$H$10:$H$11)</f>
        <v>196713493.36000004</v>
      </c>
      <c r="F171" s="116"/>
      <c r="G171" s="116">
        <f t="shared" si="20"/>
        <v>-90685154.79000004</v>
      </c>
    </row>
    <row r="172" spans="1:7" ht="15.75" hidden="1">
      <c r="A172" s="41" t="s">
        <v>237</v>
      </c>
      <c r="B172" s="31" t="s">
        <v>238</v>
      </c>
      <c r="C172" s="116"/>
      <c r="D172" s="116">
        <f>'[1]5120'!D6+'[2]5120'!D6+'[3]5120'!D6+'[4]5120'!D6+'[5]5120'!D6</f>
        <v>0</v>
      </c>
      <c r="E172" s="116">
        <f>'[1]5120'!E6+'[2]5120'!E6+'[3]5120'!E6+'[4]5120'!E6+'[5]5120'!E6</f>
        <v>0</v>
      </c>
      <c r="F172" s="116"/>
      <c r="G172" s="116">
        <f t="shared" si="20"/>
        <v>0</v>
      </c>
    </row>
    <row r="173" spans="1:7" ht="15.75" hidden="1">
      <c r="A173" s="134" t="s">
        <v>239</v>
      </c>
      <c r="B173" s="134"/>
      <c r="C173" s="135"/>
      <c r="D173" s="135">
        <f>D170+D171+D172</f>
        <v>1101376096.21</v>
      </c>
      <c r="E173" s="135">
        <f>E170+E171+E172</f>
        <v>1039673355.49</v>
      </c>
      <c r="F173" s="116"/>
      <c r="G173" s="135">
        <f t="shared" si="20"/>
        <v>61702740.72000003</v>
      </c>
    </row>
    <row r="174" spans="1:7" ht="15.75" hidden="1">
      <c r="A174" s="41" t="s">
        <v>240</v>
      </c>
      <c r="B174" s="31" t="s">
        <v>212</v>
      </c>
      <c r="C174" s="116"/>
      <c r="D174" s="116">
        <f>'[1]5120'!D5+'[2]5120'!D5+'[3]5120'!D5+'[4]5120'!D5+'[5]5120'!D5</f>
        <v>151226.66999999998</v>
      </c>
      <c r="E174" s="116">
        <f>'[1]5120'!E5+'[2]5120'!E5+'[3]5120'!E5+'[4]5120'!E5+'[5]5120'!E5</f>
        <v>138790</v>
      </c>
      <c r="F174" s="116"/>
      <c r="G174" s="116">
        <f t="shared" si="20"/>
        <v>12436.669999999984</v>
      </c>
    </row>
    <row r="175" spans="1:7" ht="15.75" hidden="1">
      <c r="A175" s="41" t="s">
        <v>241</v>
      </c>
      <c r="B175" s="31" t="s">
        <v>242</v>
      </c>
      <c r="C175" s="116"/>
      <c r="D175" s="116">
        <f>'[1]5120'!D8+'[2]5120'!D8+'[3]5120'!D8+'[4]5120'!D8+'[5]5120'!D8</f>
        <v>13342812.990000002</v>
      </c>
      <c r="E175" s="116">
        <f>'[1]5120'!E8+'[2]5120'!E8+'[3]5120'!E8+'[4]5120'!E8+'[5]5120'!E8</f>
        <v>19238817.93</v>
      </c>
      <c r="F175" s="116"/>
      <c r="G175" s="116">
        <f t="shared" si="20"/>
        <v>-5896004.939999998</v>
      </c>
    </row>
    <row r="176" spans="1:7" ht="15.75" hidden="1">
      <c r="A176" s="108" t="s">
        <v>243</v>
      </c>
      <c r="B176" s="108"/>
      <c r="C176" s="117"/>
      <c r="D176" s="117">
        <f>D174+D175</f>
        <v>13494039.660000002</v>
      </c>
      <c r="E176" s="117">
        <f>E174+E175</f>
        <v>19377607.93</v>
      </c>
      <c r="F176" s="116"/>
      <c r="G176" s="135">
        <f t="shared" si="20"/>
        <v>-5883568.269999998</v>
      </c>
    </row>
    <row r="177" spans="1:10" ht="15.75" hidden="1">
      <c r="A177" s="230" t="s">
        <v>244</v>
      </c>
      <c r="B177" s="230"/>
      <c r="C177" s="230"/>
      <c r="D177" s="136">
        <f>D173+D176</f>
        <v>1114870135.8700001</v>
      </c>
      <c r="E177" s="136">
        <f>E173+E176</f>
        <v>1059050963.42</v>
      </c>
      <c r="F177" s="116"/>
      <c r="G177" s="136">
        <f>G173+G176</f>
        <v>55819172.45000003</v>
      </c>
      <c r="J177" s="26"/>
    </row>
    <row r="178" spans="1:7" ht="15.75" hidden="1">
      <c r="A178" s="137" t="s">
        <v>245</v>
      </c>
      <c r="B178" s="31"/>
      <c r="C178" s="116"/>
      <c r="D178" s="116"/>
      <c r="E178" s="116"/>
      <c r="F178" s="116"/>
      <c r="G178" s="117"/>
    </row>
    <row r="179" spans="1:7" ht="15.75" hidden="1">
      <c r="A179" s="141" t="s">
        <v>246</v>
      </c>
      <c r="B179" s="31"/>
      <c r="C179" s="116"/>
      <c r="D179" s="116"/>
      <c r="E179" s="116"/>
      <c r="F179" s="116">
        <f>'[1]5120'!F10+'[2]5120'!F10+'[3]5120'!F10+'[4]5120'!F10+'[5]5120'!F10</f>
        <v>8948936.200000001</v>
      </c>
      <c r="G179" s="116"/>
    </row>
    <row r="180" spans="1:7" ht="15.75" hidden="1">
      <c r="A180" s="141" t="s">
        <v>247</v>
      </c>
      <c r="B180" s="31"/>
      <c r="C180" s="116"/>
      <c r="D180" s="116"/>
      <c r="E180" s="116"/>
      <c r="F180" s="116">
        <f>'[1]5120'!F12+'[2]5120'!F12+'[3]5120'!F12+'[4]5120'!F12+'[5]5120'!F12</f>
        <v>42129424.44</v>
      </c>
      <c r="G180" s="116"/>
    </row>
    <row r="181" spans="1:7" ht="15.75" hidden="1">
      <c r="A181" s="141" t="s">
        <v>248</v>
      </c>
      <c r="B181" s="31"/>
      <c r="C181" s="116"/>
      <c r="D181" s="116"/>
      <c r="E181" s="116"/>
      <c r="F181" s="116">
        <f>'[1]5120'!F11+'[2]5120'!F11+'[3]5120'!F11+'[4]5120'!F11+'[5]5120'!F11</f>
        <v>61985480.730000004</v>
      </c>
      <c r="G181" s="116"/>
    </row>
    <row r="182" spans="1:7" ht="15.75" hidden="1">
      <c r="A182" s="230" t="s">
        <v>249</v>
      </c>
      <c r="B182" s="230"/>
      <c r="C182" s="230"/>
      <c r="D182" s="230"/>
      <c r="E182" s="230"/>
      <c r="F182" s="142">
        <f>F179+F180-F181</f>
        <v>-10907120.090000004</v>
      </c>
      <c r="G182" s="116"/>
    </row>
    <row r="183" spans="1:7" ht="16.5" hidden="1" thickBot="1">
      <c r="A183" s="226" t="s">
        <v>250</v>
      </c>
      <c r="B183" s="226"/>
      <c r="C183" s="226"/>
      <c r="D183" s="226"/>
      <c r="E183" s="226"/>
      <c r="F183" s="226"/>
      <c r="G183" s="143">
        <f>G177+F182</f>
        <v>44912052.36000003</v>
      </c>
    </row>
    <row r="184" ht="12.75" hidden="1"/>
  </sheetData>
  <sheetProtection selectLockedCells="1" selectUnlockedCells="1"/>
  <mergeCells count="56">
    <mergeCell ref="J118:J119"/>
    <mergeCell ref="J88:J89"/>
    <mergeCell ref="B88:B90"/>
    <mergeCell ref="C88:E88"/>
    <mergeCell ref="F88:F89"/>
    <mergeCell ref="G88:G89"/>
    <mergeCell ref="H88:H89"/>
    <mergeCell ref="I88:I89"/>
    <mergeCell ref="F118:F119"/>
    <mergeCell ref="G118:G119"/>
    <mergeCell ref="H118:H119"/>
    <mergeCell ref="I118:I119"/>
    <mergeCell ref="A74:B74"/>
    <mergeCell ref="A42:B42"/>
    <mergeCell ref="A48:C48"/>
    <mergeCell ref="A75:B75"/>
    <mergeCell ref="A49:C49"/>
    <mergeCell ref="F12:M12"/>
    <mergeCell ref="A12:B12"/>
    <mergeCell ref="A24:B24"/>
    <mergeCell ref="F29:M29"/>
    <mergeCell ref="F13:M13"/>
    <mergeCell ref="C13:E13"/>
    <mergeCell ref="A29:B29"/>
    <mergeCell ref="G30:M30"/>
    <mergeCell ref="A182:E182"/>
    <mergeCell ref="A78:B78"/>
    <mergeCell ref="A32:B32"/>
    <mergeCell ref="A69:C69"/>
    <mergeCell ref="A62:E62"/>
    <mergeCell ref="A70:B70"/>
    <mergeCell ref="A77:B77"/>
    <mergeCell ref="A57:C57"/>
    <mergeCell ref="A63:F63"/>
    <mergeCell ref="A71:B71"/>
    <mergeCell ref="E69:G69"/>
    <mergeCell ref="C30:E30"/>
    <mergeCell ref="A76:B76"/>
    <mergeCell ref="A72:B72"/>
    <mergeCell ref="A73:B73"/>
    <mergeCell ref="A183:F183"/>
    <mergeCell ref="A47:C47"/>
    <mergeCell ref="A149:B149"/>
    <mergeCell ref="A150:C150"/>
    <mergeCell ref="A151:C151"/>
    <mergeCell ref="A159:C159"/>
    <mergeCell ref="A164:E164"/>
    <mergeCell ref="A177:C177"/>
    <mergeCell ref="A169:C169"/>
    <mergeCell ref="A80:B80"/>
    <mergeCell ref="A79:B79"/>
    <mergeCell ref="B118:B120"/>
    <mergeCell ref="C118:E118"/>
    <mergeCell ref="A165:F165"/>
    <mergeCell ref="A167:B167"/>
    <mergeCell ref="A168:C168"/>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11.421875" defaultRowHeight="12.75"/>
  <cols>
    <col min="1" max="16384" width="11.421875" style="218" customWidth="1"/>
  </cols>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M198"/>
  <sheetViews>
    <sheetView zoomScale="75" zoomScaleNormal="75" workbookViewId="0" topLeftCell="A25">
      <selection activeCell="H42" sqref="H42"/>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2" width="19.28125" style="3" hidden="1" customWidth="1"/>
    <col min="13" max="13" width="17.28125" style="3" hidden="1" customWidth="1"/>
    <col min="14" max="14" width="17.140625" style="3" hidden="1" customWidth="1"/>
    <col min="15" max="15" width="18.140625" style="3" hidden="1" customWidth="1"/>
    <col min="16" max="16" width="21.140625" style="3" hidden="1" customWidth="1"/>
    <col min="17" max="16384" width="11.421875" style="3" customWidth="1"/>
  </cols>
  <sheetData>
    <row r="1" spans="1:123" ht="60" customHeight="1">
      <c r="A1" s="5"/>
      <c r="B1" s="7"/>
      <c r="C1" s="7"/>
      <c r="D1" s="9"/>
      <c r="E1" s="9"/>
      <c r="F1" s="3"/>
      <c r="G1" s="9"/>
      <c r="H1" s="7" t="s">
        <v>9</v>
      </c>
      <c r="I1" s="8">
        <f>Balance!L1</f>
        <v>2016</v>
      </c>
      <c r="J1" s="3"/>
      <c r="K1" s="3"/>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6"/>
      <c r="AQ1" s="46"/>
      <c r="AR1" s="46"/>
      <c r="AS1" s="46"/>
      <c r="AT1" s="46"/>
      <c r="AU1" s="46"/>
      <c r="AV1" s="46"/>
      <c r="AW1" s="46"/>
      <c r="AX1" s="46"/>
      <c r="AY1" s="46"/>
      <c r="AZ1" s="46"/>
      <c r="BA1" s="46"/>
      <c r="BB1" s="46"/>
      <c r="BC1" s="46"/>
      <c r="BD1" s="46"/>
      <c r="BE1" s="46"/>
      <c r="BF1" s="46"/>
      <c r="BG1" s="46"/>
      <c r="BH1" s="46"/>
      <c r="BI1" s="46"/>
      <c r="BJ1" s="46"/>
      <c r="BK1" s="46"/>
      <c r="BL1" s="46"/>
      <c r="BM1" s="46"/>
      <c r="BN1" s="46"/>
      <c r="BO1" s="46"/>
      <c r="BP1" s="46"/>
      <c r="BQ1" s="46"/>
      <c r="BR1" s="46"/>
      <c r="BS1" s="46"/>
      <c r="BT1" s="46"/>
      <c r="BU1" s="46"/>
      <c r="BV1" s="46"/>
      <c r="BW1" s="46"/>
      <c r="BX1" s="46"/>
      <c r="BY1" s="46"/>
      <c r="BZ1" s="46"/>
      <c r="CA1" s="46"/>
      <c r="CB1" s="46"/>
      <c r="CC1" s="46"/>
      <c r="CD1" s="46"/>
      <c r="CE1" s="46"/>
      <c r="CF1" s="46"/>
      <c r="CG1" s="46"/>
      <c r="CH1" s="46"/>
      <c r="CI1" s="46"/>
      <c r="CJ1" s="46"/>
      <c r="CK1" s="46"/>
      <c r="CL1" s="46"/>
      <c r="CM1" s="46"/>
      <c r="CN1" s="46"/>
      <c r="CO1" s="46"/>
      <c r="CP1" s="46"/>
      <c r="CQ1" s="46"/>
      <c r="CR1" s="46"/>
      <c r="CS1" s="46"/>
      <c r="CT1" s="46"/>
      <c r="CU1" s="46"/>
      <c r="CV1" s="46"/>
      <c r="CW1" s="46"/>
      <c r="CX1" s="46"/>
      <c r="CY1" s="46"/>
      <c r="CZ1" s="46"/>
      <c r="DA1" s="46"/>
      <c r="DB1" s="46"/>
      <c r="DC1" s="46"/>
      <c r="DD1" s="46"/>
      <c r="DE1" s="46"/>
      <c r="DF1" s="46"/>
      <c r="DG1" s="46"/>
      <c r="DH1" s="46"/>
      <c r="DI1" s="46"/>
      <c r="DJ1" s="46"/>
      <c r="DK1" s="46"/>
      <c r="DL1" s="46"/>
      <c r="DM1" s="46"/>
      <c r="DN1" s="46"/>
      <c r="DO1" s="46"/>
      <c r="DP1" s="46"/>
      <c r="DQ1" s="46"/>
      <c r="DR1" s="46"/>
      <c r="DS1" s="46"/>
    </row>
    <row r="2" spans="1:123" ht="12.95" customHeight="1" thickBot="1">
      <c r="A2" s="5"/>
      <c r="B2" s="6"/>
      <c r="C2" s="6"/>
      <c r="D2" s="9"/>
      <c r="E2" s="9"/>
      <c r="F2" s="9"/>
      <c r="G2" s="7"/>
      <c r="H2" s="87"/>
      <c r="I2" s="3"/>
      <c r="J2" s="3"/>
      <c r="K2" s="3"/>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row>
    <row r="3" spans="1:123" ht="33" customHeight="1">
      <c r="A3" s="70" t="str">
        <f>"                                            "&amp;"UNIVERSIDADES"</f>
        <v xml:space="preserve">                                            UNIVERSIDADES</v>
      </c>
      <c r="B3" s="10"/>
      <c r="C3" s="10"/>
      <c r="D3" s="10"/>
      <c r="E3" s="10"/>
      <c r="F3" s="10"/>
      <c r="G3" s="10"/>
      <c r="H3" s="88"/>
      <c r="I3" s="88"/>
      <c r="J3" s="3"/>
      <c r="K3" s="3"/>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row>
    <row r="4" spans="1:123" ht="19.5" customHeight="1">
      <c r="A4" s="14" t="str">
        <f>"AGREGADO"</f>
        <v>AGREGADO</v>
      </c>
      <c r="B4" s="74"/>
      <c r="C4" s="74"/>
      <c r="D4" s="74"/>
      <c r="E4" s="74"/>
      <c r="F4" s="74"/>
      <c r="G4" s="74"/>
      <c r="H4" s="51"/>
      <c r="I4" s="89"/>
      <c r="J4" s="3"/>
      <c r="K4" s="3"/>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row>
    <row r="5" spans="1:123" ht="18" customHeight="1" thickBot="1">
      <c r="A5" s="18"/>
      <c r="B5" s="44"/>
      <c r="C5" s="44"/>
      <c r="D5" s="90"/>
      <c r="E5" s="102"/>
      <c r="F5" s="102"/>
      <c r="G5" s="102"/>
      <c r="H5" s="71"/>
      <c r="I5" s="72"/>
      <c r="J5" s="3"/>
      <c r="K5" s="3"/>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row>
    <row r="6" spans="1:123" ht="15" customHeight="1">
      <c r="A6" s="91"/>
      <c r="B6" s="92"/>
      <c r="C6" s="92"/>
      <c r="D6" s="2"/>
      <c r="E6" s="2"/>
      <c r="F6" s="2"/>
      <c r="G6" s="2"/>
      <c r="H6" s="2"/>
      <c r="I6" s="92"/>
      <c r="J6" s="92"/>
      <c r="K6" s="92"/>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row>
    <row r="7" spans="1:195" s="2" customFormat="1" ht="21" customHeight="1">
      <c r="A7" s="97" t="s">
        <v>419</v>
      </c>
      <c r="B7" s="95"/>
      <c r="C7" s="95"/>
      <c r="D7" s="95"/>
      <c r="E7" s="95"/>
      <c r="F7" s="96"/>
      <c r="G7" s="96"/>
      <c r="H7" s="96"/>
      <c r="I7" s="95"/>
      <c r="J7" s="95"/>
      <c r="K7" s="95"/>
      <c r="L7" s="45"/>
      <c r="M7" s="45"/>
      <c r="N7" s="45"/>
      <c r="O7" s="45"/>
      <c r="P7" s="45"/>
      <c r="Q7" s="45"/>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c r="BL7" s="45"/>
      <c r="BM7" s="45"/>
      <c r="BN7" s="45"/>
      <c r="BO7" s="45"/>
      <c r="BP7" s="45"/>
      <c r="BQ7" s="45"/>
      <c r="BR7" s="45"/>
      <c r="BS7" s="45"/>
      <c r="BT7" s="45"/>
      <c r="BU7" s="45"/>
      <c r="BV7" s="45"/>
      <c r="BW7" s="45"/>
      <c r="BX7" s="45"/>
      <c r="BY7" s="45"/>
      <c r="BZ7" s="45"/>
      <c r="CA7" s="45"/>
      <c r="CB7" s="45"/>
      <c r="CC7" s="45"/>
      <c r="CD7" s="45"/>
      <c r="CE7" s="45"/>
      <c r="CF7" s="45"/>
      <c r="CG7" s="45"/>
      <c r="CH7" s="45"/>
      <c r="CI7" s="45"/>
      <c r="CJ7" s="45"/>
      <c r="CK7" s="45"/>
      <c r="CL7" s="45"/>
      <c r="CM7" s="45"/>
      <c r="CN7" s="45"/>
      <c r="CO7" s="45"/>
      <c r="CP7" s="45"/>
      <c r="CQ7" s="45"/>
      <c r="CR7" s="45"/>
      <c r="CS7" s="45"/>
      <c r="CT7" s="45"/>
      <c r="CU7" s="45"/>
      <c r="CV7" s="45"/>
      <c r="CW7" s="45"/>
      <c r="CX7" s="45"/>
      <c r="CY7" s="45"/>
      <c r="CZ7" s="45"/>
      <c r="DA7" s="45"/>
      <c r="DB7" s="45"/>
      <c r="DC7" s="45"/>
      <c r="DD7" s="45"/>
      <c r="DE7" s="45"/>
      <c r="DF7" s="45"/>
      <c r="DG7" s="45"/>
      <c r="DH7" s="45"/>
      <c r="DI7" s="45"/>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row>
    <row r="8" spans="1:195" s="2" customFormat="1" ht="12.95" customHeight="1">
      <c r="A8" s="24"/>
      <c r="B8" s="95"/>
      <c r="C8" s="95"/>
      <c r="D8" s="95"/>
      <c r="E8" s="95"/>
      <c r="F8" s="96"/>
      <c r="G8" s="96"/>
      <c r="H8" s="96"/>
      <c r="I8" s="95"/>
      <c r="J8" s="95"/>
      <c r="K8" s="95"/>
      <c r="L8" s="45"/>
      <c r="M8" s="45"/>
      <c r="N8" s="45"/>
      <c r="O8" s="45"/>
      <c r="P8" s="45"/>
      <c r="Q8" s="45"/>
      <c r="R8" s="45"/>
      <c r="S8" s="45"/>
      <c r="T8" s="45"/>
      <c r="U8" s="45"/>
      <c r="V8" s="45"/>
      <c r="W8" s="45"/>
      <c r="X8" s="45"/>
      <c r="Y8" s="45"/>
      <c r="Z8" s="45"/>
      <c r="AA8" s="45"/>
      <c r="AB8" s="45"/>
      <c r="AC8" s="45"/>
      <c r="AD8" s="45"/>
      <c r="AE8" s="45"/>
      <c r="AF8" s="45"/>
      <c r="AG8" s="45"/>
      <c r="AH8" s="45"/>
      <c r="AI8" s="45"/>
      <c r="AJ8" s="45"/>
      <c r="AK8" s="45"/>
      <c r="AL8" s="45"/>
      <c r="AM8" s="45"/>
      <c r="AN8" s="45"/>
      <c r="AO8" s="45"/>
      <c r="AP8" s="45"/>
      <c r="AQ8" s="45"/>
      <c r="AR8" s="45"/>
      <c r="AS8" s="45"/>
      <c r="AT8" s="45"/>
      <c r="AU8" s="45"/>
      <c r="AV8" s="45"/>
      <c r="AW8" s="45"/>
      <c r="AX8" s="45"/>
      <c r="AY8" s="45"/>
      <c r="AZ8" s="45"/>
      <c r="BA8" s="45"/>
      <c r="BB8" s="45"/>
      <c r="BC8" s="45"/>
      <c r="BD8" s="45"/>
      <c r="BE8" s="45"/>
      <c r="BF8" s="45"/>
      <c r="BG8" s="45"/>
      <c r="BH8" s="45"/>
      <c r="BI8" s="45"/>
      <c r="BJ8" s="45"/>
      <c r="BK8" s="45"/>
      <c r="BL8" s="45"/>
      <c r="BM8" s="45"/>
      <c r="BN8" s="45"/>
      <c r="BO8" s="45"/>
      <c r="BP8" s="45"/>
      <c r="BQ8" s="45"/>
      <c r="BR8" s="45"/>
      <c r="BS8" s="45"/>
      <c r="BT8" s="45"/>
      <c r="BU8" s="45"/>
      <c r="BV8" s="45"/>
      <c r="BW8" s="45"/>
      <c r="BX8" s="45"/>
      <c r="BY8" s="45"/>
      <c r="BZ8" s="45"/>
      <c r="CA8" s="45"/>
      <c r="CB8" s="45"/>
      <c r="CC8" s="45"/>
      <c r="CD8" s="45"/>
      <c r="CE8" s="45"/>
      <c r="CF8" s="45"/>
      <c r="CG8" s="45"/>
      <c r="CH8" s="45"/>
      <c r="CI8" s="45"/>
      <c r="CJ8" s="45"/>
      <c r="CK8" s="45"/>
      <c r="CL8" s="45"/>
      <c r="CM8" s="45"/>
      <c r="CN8" s="45"/>
      <c r="CO8" s="45"/>
      <c r="CP8" s="45"/>
      <c r="CQ8" s="45"/>
      <c r="CR8" s="45"/>
      <c r="CS8" s="45"/>
      <c r="CT8" s="45"/>
      <c r="CU8" s="45"/>
      <c r="CV8" s="45"/>
      <c r="CW8" s="45"/>
      <c r="CX8" s="45"/>
      <c r="CY8" s="45"/>
      <c r="CZ8" s="45"/>
      <c r="DA8" s="45"/>
      <c r="DB8" s="45"/>
      <c r="DC8" s="45"/>
      <c r="DD8" s="45"/>
      <c r="DE8" s="45"/>
      <c r="DF8" s="45"/>
      <c r="DG8" s="45"/>
      <c r="DH8" s="45"/>
      <c r="DI8" s="45"/>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row>
    <row r="9" spans="1:195" s="2" customFormat="1" ht="18" customHeight="1" thickBot="1">
      <c r="A9" s="45" t="s">
        <v>10</v>
      </c>
      <c r="B9" s="95"/>
      <c r="C9" s="95"/>
      <c r="D9" s="95"/>
      <c r="E9" s="95"/>
      <c r="F9" s="96"/>
      <c r="G9" s="96"/>
      <c r="H9" s="195">
        <f>I1</f>
        <v>2016</v>
      </c>
      <c r="I9" s="95"/>
      <c r="J9" s="95"/>
      <c r="K9" s="9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45"/>
      <c r="CE9" s="45"/>
      <c r="CF9" s="45"/>
      <c r="CG9" s="45"/>
      <c r="CH9" s="45"/>
      <c r="CI9" s="45"/>
      <c r="CJ9" s="45"/>
      <c r="CK9" s="45"/>
      <c r="CL9" s="45"/>
      <c r="CM9" s="45"/>
      <c r="CN9" s="45"/>
      <c r="CO9" s="45"/>
      <c r="CP9" s="45"/>
      <c r="CQ9" s="45"/>
      <c r="CR9" s="45"/>
      <c r="CS9" s="45"/>
      <c r="CT9" s="45"/>
      <c r="CU9" s="45"/>
      <c r="CV9" s="45"/>
      <c r="CW9" s="45"/>
      <c r="CX9" s="45"/>
      <c r="CY9" s="45"/>
      <c r="CZ9" s="45"/>
      <c r="DA9" s="45"/>
      <c r="DB9" s="45"/>
      <c r="DC9" s="45"/>
      <c r="DD9" s="45"/>
      <c r="DE9" s="45"/>
      <c r="DF9" s="45"/>
      <c r="DG9" s="45"/>
      <c r="DH9" s="45"/>
      <c r="DI9" s="45"/>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row>
    <row r="10" spans="1:195" s="2" customFormat="1" ht="33" customHeight="1">
      <c r="A10" s="227" t="s">
        <v>416</v>
      </c>
      <c r="B10" s="227"/>
      <c r="C10" s="111"/>
      <c r="D10" s="112"/>
      <c r="E10" s="112"/>
      <c r="F10" s="171"/>
      <c r="G10" s="171"/>
      <c r="H10" s="171"/>
      <c r="I10" s="95"/>
      <c r="J10" s="95"/>
      <c r="K10" s="9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row>
    <row r="11" spans="1:195" s="2" customFormat="1" ht="48" customHeight="1">
      <c r="A11" s="240" t="s">
        <v>190</v>
      </c>
      <c r="B11" s="240"/>
      <c r="C11" s="172" t="s">
        <v>318</v>
      </c>
      <c r="D11" s="172" t="s">
        <v>319</v>
      </c>
      <c r="E11" s="172" t="s">
        <v>320</v>
      </c>
      <c r="F11" s="172" t="s">
        <v>321</v>
      </c>
      <c r="G11" s="114" t="s">
        <v>194</v>
      </c>
      <c r="H11" s="172" t="s">
        <v>322</v>
      </c>
      <c r="I11" s="95"/>
      <c r="J11" s="95"/>
      <c r="K11" s="9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row>
    <row r="12" spans="1:113" s="2" customFormat="1" ht="18" customHeight="1">
      <c r="A12" s="115" t="s">
        <v>199</v>
      </c>
      <c r="B12" s="31" t="s">
        <v>200</v>
      </c>
      <c r="C12" s="116">
        <f aca="true" t="shared" si="0" ref="C12:F19">C91+C140</f>
        <v>13628439.120000022</v>
      </c>
      <c r="D12" s="116">
        <f t="shared" si="0"/>
        <v>-14464.06</v>
      </c>
      <c r="E12" s="116">
        <f t="shared" si="0"/>
        <v>13613975.060000021</v>
      </c>
      <c r="F12" s="116">
        <f t="shared" si="0"/>
        <v>13612719.710000016</v>
      </c>
      <c r="G12" s="118">
        <f aca="true" t="shared" si="1" ref="G12:G20">IF(E12=0,"    --",F12/E12*100)</f>
        <v>99.99077896063073</v>
      </c>
      <c r="H12" s="116">
        <f aca="true" t="shared" si="2" ref="H12:H19">G91+G140</f>
        <v>1255.3500000064867</v>
      </c>
      <c r="I12" s="95"/>
      <c r="J12" s="95"/>
      <c r="K12" s="9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row>
    <row r="13" spans="1:113" s="2" customFormat="1" ht="18" customHeight="1">
      <c r="A13" s="115" t="s">
        <v>201</v>
      </c>
      <c r="B13" s="31" t="s">
        <v>202</v>
      </c>
      <c r="C13" s="116">
        <f t="shared" si="0"/>
        <v>15986532.969999991</v>
      </c>
      <c r="D13" s="116">
        <f t="shared" si="0"/>
        <v>-3759.6800000000003</v>
      </c>
      <c r="E13" s="116">
        <f t="shared" si="0"/>
        <v>15982773.289999992</v>
      </c>
      <c r="F13" s="116">
        <f t="shared" si="0"/>
        <v>15543179.779999994</v>
      </c>
      <c r="G13" s="118">
        <f t="shared" si="1"/>
        <v>97.24957926873029</v>
      </c>
      <c r="H13" s="116">
        <f t="shared" si="2"/>
        <v>439593.50999999815</v>
      </c>
      <c r="I13" s="95"/>
      <c r="J13" s="95"/>
      <c r="K13" s="95"/>
      <c r="L13" s="45"/>
      <c r="M13" s="45"/>
      <c r="N13" s="45"/>
      <c r="O13" s="45"/>
      <c r="P13" s="45"/>
      <c r="Q13" s="45"/>
      <c r="R13" s="45"/>
      <c r="S13" s="45"/>
      <c r="T13" s="45"/>
      <c r="U13" s="45"/>
      <c r="V13" s="45"/>
      <c r="W13" s="45"/>
      <c r="X13" s="45"/>
      <c r="Y13" s="45"/>
      <c r="Z13" s="45"/>
      <c r="AA13" s="45"/>
      <c r="AB13" s="45"/>
      <c r="AC13" s="45"/>
      <c r="AD13" s="45"/>
      <c r="AE13" s="45"/>
      <c r="AF13" s="45"/>
      <c r="AG13" s="45"/>
      <c r="AH13" s="45"/>
      <c r="AI13" s="45"/>
      <c r="AJ13" s="45"/>
      <c r="AK13" s="45"/>
      <c r="AL13" s="45"/>
      <c r="AM13" s="45"/>
      <c r="AN13" s="45"/>
      <c r="AO13" s="45"/>
      <c r="AP13" s="45"/>
      <c r="AQ13" s="45"/>
      <c r="AR13" s="45"/>
      <c r="AS13" s="45"/>
      <c r="AT13" s="45"/>
      <c r="AU13" s="45"/>
      <c r="AV13" s="45"/>
      <c r="AW13" s="45"/>
      <c r="AX13" s="45"/>
      <c r="AY13" s="45"/>
      <c r="AZ13" s="45"/>
      <c r="BA13" s="45"/>
      <c r="BB13" s="45"/>
      <c r="BC13" s="45"/>
      <c r="BD13" s="45"/>
      <c r="BE13" s="45"/>
      <c r="BF13" s="45"/>
      <c r="BG13" s="45"/>
      <c r="BH13" s="45"/>
      <c r="BI13" s="45"/>
      <c r="BJ13" s="45"/>
      <c r="BK13" s="45"/>
      <c r="BL13" s="45"/>
      <c r="BM13" s="45"/>
      <c r="BN13" s="45"/>
      <c r="BO13" s="45"/>
      <c r="BP13" s="45"/>
      <c r="BQ13" s="45"/>
      <c r="BR13" s="45"/>
      <c r="BS13" s="45"/>
      <c r="BT13" s="45"/>
      <c r="BU13" s="45"/>
      <c r="BV13" s="45"/>
      <c r="BW13" s="45"/>
      <c r="BX13" s="45"/>
      <c r="BY13" s="45"/>
      <c r="BZ13" s="45"/>
      <c r="CA13" s="45"/>
      <c r="CB13" s="45"/>
      <c r="CC13" s="45"/>
      <c r="CD13" s="45"/>
      <c r="CE13" s="45"/>
      <c r="CF13" s="45"/>
      <c r="CG13" s="45"/>
      <c r="CH13" s="45"/>
      <c r="CI13" s="45"/>
      <c r="CJ13" s="45"/>
      <c r="CK13" s="45"/>
      <c r="CL13" s="45"/>
      <c r="CM13" s="45"/>
      <c r="CN13" s="45"/>
      <c r="CO13" s="45"/>
      <c r="CP13" s="45"/>
      <c r="CQ13" s="45"/>
      <c r="CR13" s="45"/>
      <c r="CS13" s="45"/>
      <c r="CT13" s="45"/>
      <c r="CU13" s="45"/>
      <c r="CV13" s="45"/>
      <c r="CW13" s="45"/>
      <c r="CX13" s="45"/>
      <c r="CY13" s="45"/>
      <c r="CZ13" s="45"/>
      <c r="DA13" s="45"/>
      <c r="DB13" s="45"/>
      <c r="DC13" s="45"/>
      <c r="DD13" s="45"/>
      <c r="DE13" s="45"/>
      <c r="DF13" s="45"/>
      <c r="DG13" s="45"/>
      <c r="DH13" s="45"/>
      <c r="DI13" s="45"/>
    </row>
    <row r="14" spans="1:113" s="2" customFormat="1" ht="18" customHeight="1">
      <c r="A14" s="115" t="s">
        <v>203</v>
      </c>
      <c r="B14" s="31" t="s">
        <v>204</v>
      </c>
      <c r="C14" s="116">
        <f t="shared" si="0"/>
        <v>1620.1899999999441</v>
      </c>
      <c r="D14" s="116">
        <f t="shared" si="0"/>
        <v>0</v>
      </c>
      <c r="E14" s="116">
        <f t="shared" si="0"/>
        <v>1620.1899999999441</v>
      </c>
      <c r="F14" s="116">
        <f t="shared" si="0"/>
        <v>1620.19</v>
      </c>
      <c r="G14" s="118">
        <f t="shared" si="1"/>
        <v>100.00000000000344</v>
      </c>
      <c r="H14" s="116">
        <f t="shared" si="2"/>
        <v>-5.5933924159035087E-11</v>
      </c>
      <c r="I14" s="95"/>
      <c r="J14" s="95"/>
      <c r="K14" s="95"/>
      <c r="L14" s="45"/>
      <c r="M14" s="45"/>
      <c r="N14" s="45"/>
      <c r="O14" s="45"/>
      <c r="P14" s="45"/>
      <c r="Q14" s="45"/>
      <c r="R14" s="45"/>
      <c r="S14" s="45"/>
      <c r="T14" s="45"/>
      <c r="U14" s="45"/>
      <c r="V14" s="45"/>
      <c r="W14" s="45"/>
      <c r="X14" s="45"/>
      <c r="Y14" s="45"/>
      <c r="Z14" s="45"/>
      <c r="AA14" s="45"/>
      <c r="AB14" s="45"/>
      <c r="AC14" s="45"/>
      <c r="AD14" s="45"/>
      <c r="AE14" s="45"/>
      <c r="AF14" s="45"/>
      <c r="AG14" s="45"/>
      <c r="AH14" s="45"/>
      <c r="AI14" s="45"/>
      <c r="AJ14" s="45"/>
      <c r="AK14" s="45"/>
      <c r="AL14" s="45"/>
      <c r="AM14" s="45"/>
      <c r="AN14" s="45"/>
      <c r="AO14" s="45"/>
      <c r="AP14" s="45"/>
      <c r="AQ14" s="45"/>
      <c r="AR14" s="45"/>
      <c r="AS14" s="45"/>
      <c r="AT14" s="45"/>
      <c r="AU14" s="45"/>
      <c r="AV14" s="45"/>
      <c r="AW14" s="45"/>
      <c r="AX14" s="45"/>
      <c r="AY14" s="45"/>
      <c r="AZ14" s="45"/>
      <c r="BA14" s="45"/>
      <c r="BB14" s="45"/>
      <c r="BC14" s="45"/>
      <c r="BD14" s="45"/>
      <c r="BE14" s="45"/>
      <c r="BF14" s="45"/>
      <c r="BG14" s="45"/>
      <c r="BH14" s="45"/>
      <c r="BI14" s="45"/>
      <c r="BJ14" s="45"/>
      <c r="BK14" s="45"/>
      <c r="BL14" s="45"/>
      <c r="BM14" s="45"/>
      <c r="BN14" s="45"/>
      <c r="BO14" s="45"/>
      <c r="BP14" s="45"/>
      <c r="BQ14" s="45"/>
      <c r="BR14" s="45"/>
      <c r="BS14" s="45"/>
      <c r="BT14" s="45"/>
      <c r="BU14" s="45"/>
      <c r="BV14" s="45"/>
      <c r="BW14" s="45"/>
      <c r="BX14" s="45"/>
      <c r="BY14" s="45"/>
      <c r="BZ14" s="45"/>
      <c r="CA14" s="45"/>
      <c r="CB14" s="45"/>
      <c r="CC14" s="45"/>
      <c r="CD14" s="45"/>
      <c r="CE14" s="45"/>
      <c r="CF14" s="45"/>
      <c r="CG14" s="45"/>
      <c r="CH14" s="45"/>
      <c r="CI14" s="45"/>
      <c r="CJ14" s="45"/>
      <c r="CK14" s="45"/>
      <c r="CL14" s="45"/>
      <c r="CM14" s="45"/>
      <c r="CN14" s="45"/>
      <c r="CO14" s="45"/>
      <c r="CP14" s="45"/>
      <c r="CQ14" s="45"/>
      <c r="CR14" s="45"/>
      <c r="CS14" s="45"/>
      <c r="CT14" s="45"/>
      <c r="CU14" s="45"/>
      <c r="CV14" s="45"/>
      <c r="CW14" s="45"/>
      <c r="CX14" s="45"/>
      <c r="CY14" s="45"/>
      <c r="CZ14" s="45"/>
      <c r="DA14" s="45"/>
      <c r="DB14" s="45"/>
      <c r="DC14" s="45"/>
      <c r="DD14" s="45"/>
      <c r="DE14" s="45"/>
      <c r="DF14" s="45"/>
      <c r="DG14" s="45"/>
      <c r="DH14" s="45"/>
      <c r="DI14" s="45"/>
    </row>
    <row r="15" spans="1:113" s="2" customFormat="1" ht="18" customHeight="1">
      <c r="A15" s="115" t="s">
        <v>205</v>
      </c>
      <c r="B15" s="31" t="s">
        <v>206</v>
      </c>
      <c r="C15" s="116">
        <f t="shared" si="0"/>
        <v>1958155.99</v>
      </c>
      <c r="D15" s="116">
        <f t="shared" si="0"/>
        <v>0</v>
      </c>
      <c r="E15" s="116">
        <f t="shared" si="0"/>
        <v>1958155.99</v>
      </c>
      <c r="F15" s="116">
        <f t="shared" si="0"/>
        <v>1946767.7799999998</v>
      </c>
      <c r="G15" s="118">
        <f t="shared" si="1"/>
        <v>99.41842171623925</v>
      </c>
      <c r="H15" s="116">
        <f t="shared" si="2"/>
        <v>11388.209999999986</v>
      </c>
      <c r="I15" s="95"/>
      <c r="J15" s="95"/>
      <c r="K15" s="9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5"/>
      <c r="AL15" s="45"/>
      <c r="AM15" s="45"/>
      <c r="AN15" s="45"/>
      <c r="AO15" s="45"/>
      <c r="AP15" s="45"/>
      <c r="AQ15" s="45"/>
      <c r="AR15" s="45"/>
      <c r="AS15" s="45"/>
      <c r="AT15" s="45"/>
      <c r="AU15" s="45"/>
      <c r="AV15" s="45"/>
      <c r="AW15" s="45"/>
      <c r="AX15" s="45"/>
      <c r="AY15" s="45"/>
      <c r="AZ15" s="45"/>
      <c r="BA15" s="45"/>
      <c r="BB15" s="45"/>
      <c r="BC15" s="45"/>
      <c r="BD15" s="45"/>
      <c r="BE15" s="45"/>
      <c r="BF15" s="45"/>
      <c r="BG15" s="45"/>
      <c r="BH15" s="45"/>
      <c r="BI15" s="45"/>
      <c r="BJ15" s="45"/>
      <c r="BK15" s="45"/>
      <c r="BL15" s="45"/>
      <c r="BM15" s="45"/>
      <c r="BN15" s="45"/>
      <c r="BO15" s="45"/>
      <c r="BP15" s="45"/>
      <c r="BQ15" s="45"/>
      <c r="BR15" s="45"/>
      <c r="BS15" s="45"/>
      <c r="BT15" s="45"/>
      <c r="BU15" s="45"/>
      <c r="BV15" s="45"/>
      <c r="BW15" s="45"/>
      <c r="BX15" s="45"/>
      <c r="BY15" s="45"/>
      <c r="BZ15" s="45"/>
      <c r="CA15" s="45"/>
      <c r="CB15" s="45"/>
      <c r="CC15" s="45"/>
      <c r="CD15" s="45"/>
      <c r="CE15" s="45"/>
      <c r="CF15" s="45"/>
      <c r="CG15" s="45"/>
      <c r="CH15" s="45"/>
      <c r="CI15" s="45"/>
      <c r="CJ15" s="45"/>
      <c r="CK15" s="45"/>
      <c r="CL15" s="45"/>
      <c r="CM15" s="45"/>
      <c r="CN15" s="45"/>
      <c r="CO15" s="45"/>
      <c r="CP15" s="45"/>
      <c r="CQ15" s="45"/>
      <c r="CR15" s="45"/>
      <c r="CS15" s="45"/>
      <c r="CT15" s="45"/>
      <c r="CU15" s="45"/>
      <c r="CV15" s="45"/>
      <c r="CW15" s="45"/>
      <c r="CX15" s="45"/>
      <c r="CY15" s="45"/>
      <c r="CZ15" s="45"/>
      <c r="DA15" s="45"/>
      <c r="DB15" s="45"/>
      <c r="DC15" s="45"/>
      <c r="DD15" s="45"/>
      <c r="DE15" s="45"/>
      <c r="DF15" s="45"/>
      <c r="DG15" s="45"/>
      <c r="DH15" s="45"/>
      <c r="DI15" s="45"/>
    </row>
    <row r="16" spans="1:113" s="2" customFormat="1" ht="18" customHeight="1">
      <c r="A16" s="115" t="s">
        <v>207</v>
      </c>
      <c r="B16" s="31" t="s">
        <v>208</v>
      </c>
      <c r="C16" s="116">
        <f t="shared" si="0"/>
        <v>10299664.940000001</v>
      </c>
      <c r="D16" s="116">
        <f t="shared" si="0"/>
        <v>-12693.67</v>
      </c>
      <c r="E16" s="116">
        <f t="shared" si="0"/>
        <v>10286971.27</v>
      </c>
      <c r="F16" s="116">
        <f t="shared" si="0"/>
        <v>10266589.329999998</v>
      </c>
      <c r="G16" s="118">
        <f t="shared" si="1"/>
        <v>99.80186646326659</v>
      </c>
      <c r="H16" s="116">
        <f t="shared" si="2"/>
        <v>20381.940000000875</v>
      </c>
      <c r="I16" s="95"/>
      <c r="J16" s="95"/>
      <c r="K16" s="9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c r="AK16" s="45"/>
      <c r="AL16" s="45"/>
      <c r="AM16" s="45"/>
      <c r="AN16" s="45"/>
      <c r="AO16" s="45"/>
      <c r="AP16" s="45"/>
      <c r="AQ16" s="45"/>
      <c r="AR16" s="45"/>
      <c r="AS16" s="45"/>
      <c r="AT16" s="45"/>
      <c r="AU16" s="45"/>
      <c r="AV16" s="45"/>
      <c r="AW16" s="45"/>
      <c r="AX16" s="45"/>
      <c r="AY16" s="45"/>
      <c r="AZ16" s="45"/>
      <c r="BA16" s="45"/>
      <c r="BB16" s="45"/>
      <c r="BC16" s="45"/>
      <c r="BD16" s="45"/>
      <c r="BE16" s="45"/>
      <c r="BF16" s="45"/>
      <c r="BG16" s="45"/>
      <c r="BH16" s="45"/>
      <c r="BI16" s="45"/>
      <c r="BJ16" s="45"/>
      <c r="BK16" s="45"/>
      <c r="BL16" s="45"/>
      <c r="BM16" s="45"/>
      <c r="BN16" s="45"/>
      <c r="BO16" s="45"/>
      <c r="BP16" s="45"/>
      <c r="BQ16" s="45"/>
      <c r="BR16" s="45"/>
      <c r="BS16" s="45"/>
      <c r="BT16" s="45"/>
      <c r="BU16" s="45"/>
      <c r="BV16" s="45"/>
      <c r="BW16" s="45"/>
      <c r="BX16" s="45"/>
      <c r="BY16" s="45"/>
      <c r="BZ16" s="45"/>
      <c r="CA16" s="45"/>
      <c r="CB16" s="45"/>
      <c r="CC16" s="45"/>
      <c r="CD16" s="45"/>
      <c r="CE16" s="45"/>
      <c r="CF16" s="45"/>
      <c r="CG16" s="45"/>
      <c r="CH16" s="45"/>
      <c r="CI16" s="45"/>
      <c r="CJ16" s="45"/>
      <c r="CK16" s="45"/>
      <c r="CL16" s="45"/>
      <c r="CM16" s="45"/>
      <c r="CN16" s="45"/>
      <c r="CO16" s="45"/>
      <c r="CP16" s="45"/>
      <c r="CQ16" s="45"/>
      <c r="CR16" s="45"/>
      <c r="CS16" s="45"/>
      <c r="CT16" s="45"/>
      <c r="CU16" s="45"/>
      <c r="CV16" s="45"/>
      <c r="CW16" s="45"/>
      <c r="CX16" s="45"/>
      <c r="CY16" s="45"/>
      <c r="CZ16" s="45"/>
      <c r="DA16" s="45"/>
      <c r="DB16" s="45"/>
      <c r="DC16" s="45"/>
      <c r="DD16" s="45"/>
      <c r="DE16" s="45"/>
      <c r="DF16" s="45"/>
      <c r="DG16" s="45"/>
      <c r="DH16" s="45"/>
      <c r="DI16" s="45"/>
    </row>
    <row r="17" spans="1:113" s="2" customFormat="1" ht="18" customHeight="1">
      <c r="A17" s="115" t="s">
        <v>209</v>
      </c>
      <c r="B17" s="31" t="s">
        <v>210</v>
      </c>
      <c r="C17" s="116">
        <f t="shared" si="0"/>
        <v>990373.3300000001</v>
      </c>
      <c r="D17" s="116">
        <f t="shared" si="0"/>
        <v>0</v>
      </c>
      <c r="E17" s="116">
        <f t="shared" si="0"/>
        <v>990373.3300000001</v>
      </c>
      <c r="F17" s="116">
        <f t="shared" si="0"/>
        <v>990373.3300000001</v>
      </c>
      <c r="G17" s="118">
        <f t="shared" si="1"/>
        <v>100</v>
      </c>
      <c r="H17" s="116">
        <f t="shared" si="2"/>
        <v>0</v>
      </c>
      <c r="I17" s="95"/>
      <c r="J17" s="95"/>
      <c r="K17" s="9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c r="AL17" s="45"/>
      <c r="AM17" s="45"/>
      <c r="AN17" s="45"/>
      <c r="AO17" s="45"/>
      <c r="AP17" s="45"/>
      <c r="AQ17" s="45"/>
      <c r="AR17" s="45"/>
      <c r="AS17" s="45"/>
      <c r="AT17" s="45"/>
      <c r="AU17" s="45"/>
      <c r="AV17" s="45"/>
      <c r="AW17" s="45"/>
      <c r="AX17" s="45"/>
      <c r="AY17" s="45"/>
      <c r="AZ17" s="45"/>
      <c r="BA17" s="45"/>
      <c r="BB17" s="45"/>
      <c r="BC17" s="45"/>
      <c r="BD17" s="45"/>
      <c r="BE17" s="45"/>
      <c r="BF17" s="45"/>
      <c r="BG17" s="45"/>
      <c r="BH17" s="45"/>
      <c r="BI17" s="45"/>
      <c r="BJ17" s="45"/>
      <c r="BK17" s="45"/>
      <c r="BL17" s="45"/>
      <c r="BM17" s="45"/>
      <c r="BN17" s="45"/>
      <c r="BO17" s="45"/>
      <c r="BP17" s="45"/>
      <c r="BQ17" s="45"/>
      <c r="BR17" s="45"/>
      <c r="BS17" s="45"/>
      <c r="BT17" s="45"/>
      <c r="BU17" s="45"/>
      <c r="BV17" s="45"/>
      <c r="BW17" s="45"/>
      <c r="BX17" s="45"/>
      <c r="BY17" s="45"/>
      <c r="BZ17" s="45"/>
      <c r="CA17" s="45"/>
      <c r="CB17" s="45"/>
      <c r="CC17" s="45"/>
      <c r="CD17" s="45"/>
      <c r="CE17" s="45"/>
      <c r="CF17" s="45"/>
      <c r="CG17" s="45"/>
      <c r="CH17" s="45"/>
      <c r="CI17" s="45"/>
      <c r="CJ17" s="45"/>
      <c r="CK17" s="45"/>
      <c r="CL17" s="45"/>
      <c r="CM17" s="45"/>
      <c r="CN17" s="45"/>
      <c r="CO17" s="45"/>
      <c r="CP17" s="45"/>
      <c r="CQ17" s="45"/>
      <c r="CR17" s="45"/>
      <c r="CS17" s="45"/>
      <c r="CT17" s="45"/>
      <c r="CU17" s="45"/>
      <c r="CV17" s="45"/>
      <c r="CW17" s="45"/>
      <c r="CX17" s="45"/>
      <c r="CY17" s="45"/>
      <c r="CZ17" s="45"/>
      <c r="DA17" s="45"/>
      <c r="DB17" s="45"/>
      <c r="DC17" s="45"/>
      <c r="DD17" s="45"/>
      <c r="DE17" s="45"/>
      <c r="DF17" s="45"/>
      <c r="DG17" s="45"/>
      <c r="DH17" s="45"/>
      <c r="DI17" s="45"/>
    </row>
    <row r="18" spans="1:113" s="2" customFormat="1" ht="18" customHeight="1">
      <c r="A18" s="115" t="s">
        <v>211</v>
      </c>
      <c r="B18" s="31" t="s">
        <v>212</v>
      </c>
      <c r="C18" s="116">
        <f t="shared" si="0"/>
        <v>0</v>
      </c>
      <c r="D18" s="116">
        <f t="shared" si="0"/>
        <v>0</v>
      </c>
      <c r="E18" s="116">
        <f t="shared" si="0"/>
        <v>0</v>
      </c>
      <c r="F18" s="116">
        <f t="shared" si="0"/>
        <v>0</v>
      </c>
      <c r="G18" s="118" t="str">
        <f t="shared" si="1"/>
        <v xml:space="preserve">    --</v>
      </c>
      <c r="H18" s="116">
        <f t="shared" si="2"/>
        <v>0</v>
      </c>
      <c r="I18" s="95"/>
      <c r="J18" s="95"/>
      <c r="K18" s="95"/>
      <c r="L18" s="45"/>
      <c r="M18" s="45"/>
      <c r="N18" s="45"/>
      <c r="O18" s="45"/>
      <c r="P18" s="45"/>
      <c r="Q18" s="45"/>
      <c r="R18" s="45"/>
      <c r="S18" s="45"/>
      <c r="T18" s="45"/>
      <c r="U18" s="45"/>
      <c r="V18" s="45"/>
      <c r="W18" s="45"/>
      <c r="X18" s="45"/>
      <c r="Y18" s="45"/>
      <c r="Z18" s="45"/>
      <c r="AA18" s="45"/>
      <c r="AB18" s="45"/>
      <c r="AC18" s="45"/>
      <c r="AD18" s="45"/>
      <c r="AE18" s="45"/>
      <c r="AF18" s="45"/>
      <c r="AG18" s="45"/>
      <c r="AH18" s="45"/>
      <c r="AI18" s="45"/>
      <c r="AJ18" s="45"/>
      <c r="AK18" s="45"/>
      <c r="AL18" s="45"/>
      <c r="AM18" s="45"/>
      <c r="AN18" s="45"/>
      <c r="AO18" s="45"/>
      <c r="AP18" s="45"/>
      <c r="AQ18" s="45"/>
      <c r="AR18" s="45"/>
      <c r="AS18" s="45"/>
      <c r="AT18" s="45"/>
      <c r="AU18" s="45"/>
      <c r="AV18" s="45"/>
      <c r="AW18" s="45"/>
      <c r="AX18" s="45"/>
      <c r="AY18" s="45"/>
      <c r="AZ18" s="45"/>
      <c r="BA18" s="45"/>
      <c r="BB18" s="45"/>
      <c r="BC18" s="45"/>
      <c r="BD18" s="45"/>
      <c r="BE18" s="45"/>
      <c r="BF18" s="45"/>
      <c r="BG18" s="45"/>
      <c r="BH18" s="45"/>
      <c r="BI18" s="45"/>
      <c r="BJ18" s="45"/>
      <c r="BK18" s="45"/>
      <c r="BL18" s="45"/>
      <c r="BM18" s="45"/>
      <c r="BN18" s="45"/>
      <c r="BO18" s="45"/>
      <c r="BP18" s="45"/>
      <c r="BQ18" s="45"/>
      <c r="BR18" s="45"/>
      <c r="BS18" s="45"/>
      <c r="BT18" s="45"/>
      <c r="BU18" s="45"/>
      <c r="BV18" s="45"/>
      <c r="BW18" s="45"/>
      <c r="BX18" s="45"/>
      <c r="BY18" s="45"/>
      <c r="BZ18" s="45"/>
      <c r="CA18" s="45"/>
      <c r="CB18" s="45"/>
      <c r="CC18" s="45"/>
      <c r="CD18" s="45"/>
      <c r="CE18" s="45"/>
      <c r="CF18" s="45"/>
      <c r="CG18" s="45"/>
      <c r="CH18" s="45"/>
      <c r="CI18" s="45"/>
      <c r="CJ18" s="45"/>
      <c r="CK18" s="45"/>
      <c r="CL18" s="45"/>
      <c r="CM18" s="45"/>
      <c r="CN18" s="45"/>
      <c r="CO18" s="45"/>
      <c r="CP18" s="45"/>
      <c r="CQ18" s="45"/>
      <c r="CR18" s="45"/>
      <c r="CS18" s="45"/>
      <c r="CT18" s="45"/>
      <c r="CU18" s="45"/>
      <c r="CV18" s="45"/>
      <c r="CW18" s="45"/>
      <c r="CX18" s="45"/>
      <c r="CY18" s="45"/>
      <c r="CZ18" s="45"/>
      <c r="DA18" s="45"/>
      <c r="DB18" s="45"/>
      <c r="DC18" s="45"/>
      <c r="DD18" s="45"/>
      <c r="DE18" s="45"/>
      <c r="DF18" s="45"/>
      <c r="DG18" s="45"/>
      <c r="DH18" s="45"/>
      <c r="DI18" s="45"/>
    </row>
    <row r="19" spans="1:113" s="2" customFormat="1" ht="18" customHeight="1">
      <c r="A19" s="115" t="s">
        <v>213</v>
      </c>
      <c r="B19" s="31" t="s">
        <v>214</v>
      </c>
      <c r="C19" s="116">
        <f t="shared" si="0"/>
        <v>415880.6299999999</v>
      </c>
      <c r="D19" s="116">
        <f t="shared" si="0"/>
        <v>0</v>
      </c>
      <c r="E19" s="116">
        <f t="shared" si="0"/>
        <v>415880.6299999999</v>
      </c>
      <c r="F19" s="116">
        <f t="shared" si="0"/>
        <v>415880.63</v>
      </c>
      <c r="G19" s="118">
        <f t="shared" si="1"/>
        <v>100.00000000000003</v>
      </c>
      <c r="H19" s="116">
        <f t="shared" si="2"/>
        <v>0</v>
      </c>
      <c r="I19" s="95"/>
      <c r="J19" s="95"/>
      <c r="K19" s="95"/>
      <c r="L19" s="45"/>
      <c r="M19" s="45"/>
      <c r="N19" s="45"/>
      <c r="O19" s="45"/>
      <c r="P19" s="45"/>
      <c r="Q19" s="45"/>
      <c r="R19" s="45"/>
      <c r="S19" s="45"/>
      <c r="T19" s="45"/>
      <c r="U19" s="45"/>
      <c r="V19" s="45"/>
      <c r="W19" s="45"/>
      <c r="X19" s="45"/>
      <c r="Y19" s="45"/>
      <c r="Z19" s="45"/>
      <c r="AA19" s="45"/>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c r="BT19" s="45"/>
      <c r="BU19" s="45"/>
      <c r="BV19" s="45"/>
      <c r="BW19" s="45"/>
      <c r="BX19" s="45"/>
      <c r="BY19" s="45"/>
      <c r="BZ19" s="45"/>
      <c r="CA19" s="45"/>
      <c r="CB19" s="45"/>
      <c r="CC19" s="45"/>
      <c r="CD19" s="45"/>
      <c r="CE19" s="45"/>
      <c r="CF19" s="45"/>
      <c r="CG19" s="45"/>
      <c r="CH19" s="45"/>
      <c r="CI19" s="45"/>
      <c r="CJ19" s="45"/>
      <c r="CK19" s="45"/>
      <c r="CL19" s="45"/>
      <c r="CM19" s="45"/>
      <c r="CN19" s="45"/>
      <c r="CO19" s="45"/>
      <c r="CP19" s="45"/>
      <c r="CQ19" s="45"/>
      <c r="CR19" s="45"/>
      <c r="CS19" s="45"/>
      <c r="CT19" s="45"/>
      <c r="CU19" s="45"/>
      <c r="CV19" s="45"/>
      <c r="CW19" s="45"/>
      <c r="CX19" s="45"/>
      <c r="CY19" s="45"/>
      <c r="CZ19" s="45"/>
      <c r="DA19" s="45"/>
      <c r="DB19" s="45"/>
      <c r="DC19" s="45"/>
      <c r="DD19" s="45"/>
      <c r="DE19" s="45"/>
      <c r="DF19" s="45"/>
      <c r="DG19" s="45"/>
      <c r="DH19" s="45"/>
      <c r="DI19" s="45"/>
    </row>
    <row r="20" spans="1:113" s="2" customFormat="1" ht="18" customHeight="1" thickBot="1">
      <c r="A20" s="243" t="s">
        <v>320</v>
      </c>
      <c r="B20" s="243"/>
      <c r="C20" s="119">
        <f>SUM(C12:C19)</f>
        <v>43280667.17000001</v>
      </c>
      <c r="D20" s="119">
        <f>SUM(D12:D19)</f>
        <v>-30917.409999999996</v>
      </c>
      <c r="E20" s="119">
        <f>SUM(E12:E19)</f>
        <v>43249749.76000001</v>
      </c>
      <c r="F20" s="119">
        <f>SUM(F12:F19)</f>
        <v>42777130.75000001</v>
      </c>
      <c r="G20" s="120">
        <f t="shared" si="1"/>
        <v>98.9072329606006</v>
      </c>
      <c r="H20" s="119">
        <f>SUM(H12:H19)</f>
        <v>472619.0100000054</v>
      </c>
      <c r="I20" s="95"/>
      <c r="J20" s="95"/>
      <c r="K20" s="9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5"/>
      <c r="AM20" s="45"/>
      <c r="AN20" s="45"/>
      <c r="AO20" s="45"/>
      <c r="AP20" s="45"/>
      <c r="AQ20" s="45"/>
      <c r="AR20" s="45"/>
      <c r="AS20" s="45"/>
      <c r="AT20" s="45"/>
      <c r="AU20" s="45"/>
      <c r="AV20" s="45"/>
      <c r="AW20" s="45"/>
      <c r="AX20" s="45"/>
      <c r="AY20" s="45"/>
      <c r="AZ20" s="45"/>
      <c r="BA20" s="45"/>
      <c r="BB20" s="45"/>
      <c r="BC20" s="45"/>
      <c r="BD20" s="45"/>
      <c r="BE20" s="45"/>
      <c r="BF20" s="45"/>
      <c r="BG20" s="45"/>
      <c r="BH20" s="45"/>
      <c r="BI20" s="45"/>
      <c r="BJ20" s="45"/>
      <c r="BK20" s="45"/>
      <c r="BL20" s="45"/>
      <c r="BM20" s="45"/>
      <c r="BN20" s="45"/>
      <c r="BO20" s="45"/>
      <c r="BP20" s="45"/>
      <c r="BQ20" s="45"/>
      <c r="BR20" s="45"/>
      <c r="BS20" s="45"/>
      <c r="BT20" s="45"/>
      <c r="BU20" s="45"/>
      <c r="BV20" s="45"/>
      <c r="BW20" s="45"/>
      <c r="BX20" s="45"/>
      <c r="BY20" s="45"/>
      <c r="BZ20" s="45"/>
      <c r="CA20" s="45"/>
      <c r="CB20" s="45"/>
      <c r="CC20" s="45"/>
      <c r="CD20" s="45"/>
      <c r="CE20" s="45"/>
      <c r="CF20" s="45"/>
      <c r="CG20" s="45"/>
      <c r="CH20" s="45"/>
      <c r="CI20" s="45"/>
      <c r="CJ20" s="45"/>
      <c r="CK20" s="45"/>
      <c r="CL20" s="45"/>
      <c r="CM20" s="45"/>
      <c r="CN20" s="45"/>
      <c r="CO20" s="45"/>
      <c r="CP20" s="45"/>
      <c r="CQ20" s="45"/>
      <c r="CR20" s="45"/>
      <c r="CS20" s="45"/>
      <c r="CT20" s="45"/>
      <c r="CU20" s="45"/>
      <c r="CV20" s="45"/>
      <c r="CW20" s="45"/>
      <c r="CX20" s="45"/>
      <c r="CY20" s="45"/>
      <c r="CZ20" s="45"/>
      <c r="DA20" s="45"/>
      <c r="DB20" s="45"/>
      <c r="DC20" s="45"/>
      <c r="DD20" s="45"/>
      <c r="DE20" s="45"/>
      <c r="DF20" s="45"/>
      <c r="DG20" s="45"/>
      <c r="DH20" s="45"/>
      <c r="DI20" s="45"/>
    </row>
    <row r="21" spans="1:113" s="2" customFormat="1" ht="12.95" customHeight="1">
      <c r="A21" s="125"/>
      <c r="B21" s="125"/>
      <c r="C21" s="126"/>
      <c r="D21" s="98"/>
      <c r="E21" s="98"/>
      <c r="F21" s="98"/>
      <c r="G21" s="98"/>
      <c r="H21" s="98"/>
      <c r="I21" s="95"/>
      <c r="J21" s="95"/>
      <c r="K21" s="9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c r="BK21" s="45"/>
      <c r="BL21" s="45"/>
      <c r="BM21" s="45"/>
      <c r="BN21" s="45"/>
      <c r="BO21" s="45"/>
      <c r="BP21" s="45"/>
      <c r="BQ21" s="45"/>
      <c r="BR21" s="45"/>
      <c r="BS21" s="45"/>
      <c r="BT21" s="45"/>
      <c r="BU21" s="45"/>
      <c r="BV21" s="45"/>
      <c r="BW21" s="45"/>
      <c r="BX21" s="45"/>
      <c r="BY21" s="45"/>
      <c r="BZ21" s="45"/>
      <c r="CA21" s="45"/>
      <c r="CB21" s="45"/>
      <c r="CC21" s="45"/>
      <c r="CD21" s="45"/>
      <c r="CE21" s="45"/>
      <c r="CF21" s="45"/>
      <c r="CG21" s="45"/>
      <c r="CH21" s="45"/>
      <c r="CI21" s="45"/>
      <c r="CJ21" s="45"/>
      <c r="CK21" s="45"/>
      <c r="CL21" s="45"/>
      <c r="CM21" s="45"/>
      <c r="CN21" s="45"/>
      <c r="CO21" s="45"/>
      <c r="CP21" s="45"/>
      <c r="CQ21" s="45"/>
      <c r="CR21" s="45"/>
      <c r="CS21" s="45"/>
      <c r="CT21" s="45"/>
      <c r="CU21" s="45"/>
      <c r="CV21" s="45"/>
      <c r="CW21" s="45"/>
      <c r="CX21" s="45"/>
      <c r="CY21" s="45"/>
      <c r="CZ21" s="45"/>
      <c r="DA21" s="45"/>
      <c r="DB21" s="45"/>
      <c r="DC21" s="45"/>
      <c r="DD21" s="45"/>
      <c r="DE21" s="45"/>
      <c r="DF21" s="45"/>
      <c r="DG21" s="45"/>
      <c r="DH21" s="45"/>
      <c r="DI21" s="45"/>
    </row>
    <row r="22" spans="1:113" s="2" customFormat="1" ht="18" customHeight="1" thickBot="1">
      <c r="A22" s="45" t="s">
        <v>10</v>
      </c>
      <c r="B22" s="125"/>
      <c r="C22" s="126"/>
      <c r="D22" s="98"/>
      <c r="E22" s="98"/>
      <c r="F22" s="98"/>
      <c r="G22" s="98"/>
      <c r="H22" s="98"/>
      <c r="I22" s="195">
        <f>I1</f>
        <v>2016</v>
      </c>
      <c r="J22" s="99"/>
      <c r="K22" s="98"/>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5"/>
      <c r="AM22" s="45"/>
      <c r="AN22" s="45"/>
      <c r="AO22" s="45"/>
      <c r="AP22" s="45"/>
      <c r="AQ22" s="45"/>
      <c r="AR22" s="45"/>
      <c r="AS22" s="45"/>
      <c r="AT22" s="45"/>
      <c r="AU22" s="45"/>
      <c r="AV22" s="45"/>
      <c r="AW22" s="45"/>
      <c r="AX22" s="45"/>
      <c r="AY22" s="45"/>
      <c r="AZ22" s="45"/>
      <c r="BA22" s="45"/>
      <c r="BB22" s="45"/>
      <c r="BC22" s="45"/>
      <c r="BD22" s="45"/>
      <c r="BE22" s="45"/>
      <c r="BF22" s="45"/>
      <c r="BG22" s="45"/>
      <c r="BH22" s="45"/>
      <c r="BI22" s="45"/>
      <c r="BJ22" s="45"/>
      <c r="BK22" s="45"/>
      <c r="BL22" s="45"/>
      <c r="BM22" s="45"/>
      <c r="BN22" s="45"/>
      <c r="BO22" s="45"/>
      <c r="BP22" s="45"/>
      <c r="BQ22" s="45"/>
      <c r="BR22" s="45"/>
      <c r="BS22" s="45"/>
      <c r="BT22" s="45"/>
      <c r="BU22" s="45"/>
      <c r="BV22" s="45"/>
      <c r="BW22" s="45"/>
      <c r="BX22" s="45"/>
      <c r="BY22" s="45"/>
      <c r="BZ22" s="45"/>
      <c r="CA22" s="45"/>
      <c r="CB22" s="45"/>
      <c r="CC22" s="45"/>
      <c r="CD22" s="45"/>
      <c r="CE22" s="45"/>
      <c r="CF22" s="45"/>
      <c r="CG22" s="45"/>
      <c r="CH22" s="45"/>
      <c r="CI22" s="45"/>
      <c r="CJ22" s="45"/>
      <c r="CK22" s="45"/>
      <c r="CL22" s="45"/>
      <c r="CM22" s="45"/>
      <c r="CN22" s="45"/>
      <c r="CO22" s="45"/>
      <c r="CP22" s="45"/>
      <c r="CQ22" s="45"/>
      <c r="CR22" s="45"/>
      <c r="CS22" s="45"/>
      <c r="CT22" s="45"/>
      <c r="CU22" s="45"/>
      <c r="CV22" s="45"/>
      <c r="CW22" s="45"/>
      <c r="CX22" s="45"/>
      <c r="CY22" s="45"/>
      <c r="CZ22" s="45"/>
      <c r="DA22" s="45"/>
      <c r="DB22" s="45"/>
      <c r="DC22" s="45"/>
      <c r="DD22" s="45"/>
      <c r="DE22" s="45"/>
      <c r="DF22" s="45"/>
      <c r="DG22" s="45"/>
      <c r="DH22" s="45"/>
      <c r="DI22" s="45"/>
    </row>
    <row r="23" spans="1:113" s="2" customFormat="1" ht="33" customHeight="1">
      <c r="A23" s="227" t="s">
        <v>415</v>
      </c>
      <c r="B23" s="227"/>
      <c r="C23" s="111"/>
      <c r="D23" s="112"/>
      <c r="E23" s="112"/>
      <c r="F23" s="171"/>
      <c r="G23" s="171"/>
      <c r="H23" s="171"/>
      <c r="I23" s="171"/>
      <c r="J23" s="99"/>
      <c r="K23" s="98"/>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c r="AX23" s="45"/>
      <c r="AY23" s="45"/>
      <c r="AZ23" s="45"/>
      <c r="BA23" s="45"/>
      <c r="BB23" s="45"/>
      <c r="BC23" s="45"/>
      <c r="BD23" s="45"/>
      <c r="BE23" s="45"/>
      <c r="BF23" s="45"/>
      <c r="BG23" s="45"/>
      <c r="BH23" s="45"/>
      <c r="BI23" s="45"/>
      <c r="BJ23" s="45"/>
      <c r="BK23" s="45"/>
      <c r="BL23" s="45"/>
      <c r="BM23" s="45"/>
      <c r="BN23" s="45"/>
      <c r="BO23" s="45"/>
      <c r="BP23" s="45"/>
      <c r="BQ23" s="45"/>
      <c r="BR23" s="45"/>
      <c r="BS23" s="45"/>
      <c r="BT23" s="45"/>
      <c r="BU23" s="45"/>
      <c r="BV23" s="45"/>
      <c r="BW23" s="45"/>
      <c r="BX23" s="45"/>
      <c r="BY23" s="45"/>
      <c r="BZ23" s="45"/>
      <c r="CA23" s="45"/>
      <c r="CB23" s="45"/>
      <c r="CC23" s="45"/>
      <c r="CD23" s="45"/>
      <c r="CE23" s="45"/>
      <c r="CF23" s="45"/>
      <c r="CG23" s="45"/>
      <c r="CH23" s="45"/>
      <c r="CI23" s="45"/>
      <c r="CJ23" s="45"/>
      <c r="CK23" s="45"/>
      <c r="CL23" s="45"/>
      <c r="CM23" s="45"/>
      <c r="CN23" s="45"/>
      <c r="CO23" s="45"/>
      <c r="CP23" s="45"/>
      <c r="CQ23" s="45"/>
      <c r="CR23" s="45"/>
      <c r="CS23" s="45"/>
      <c r="CT23" s="45"/>
      <c r="CU23" s="45"/>
      <c r="CV23" s="45"/>
      <c r="CW23" s="45"/>
      <c r="CX23" s="45"/>
      <c r="CY23" s="45"/>
      <c r="CZ23" s="45"/>
      <c r="DA23" s="45"/>
      <c r="DB23" s="45"/>
      <c r="DC23" s="45"/>
      <c r="DD23" s="45"/>
      <c r="DE23" s="45"/>
      <c r="DF23" s="45"/>
      <c r="DG23" s="45"/>
      <c r="DH23" s="45"/>
      <c r="DI23" s="45"/>
    </row>
    <row r="24" spans="1:113" s="2" customFormat="1" ht="48" customHeight="1">
      <c r="A24" s="240" t="s">
        <v>190</v>
      </c>
      <c r="B24" s="240"/>
      <c r="C24" s="172" t="s">
        <v>323</v>
      </c>
      <c r="D24" s="172" t="s">
        <v>324</v>
      </c>
      <c r="E24" s="172" t="s">
        <v>325</v>
      </c>
      <c r="F24" s="172" t="s">
        <v>326</v>
      </c>
      <c r="G24" s="114" t="s">
        <v>195</v>
      </c>
      <c r="H24" s="172" t="s">
        <v>327</v>
      </c>
      <c r="I24" s="172" t="s">
        <v>328</v>
      </c>
      <c r="J24" s="99"/>
      <c r="K24" s="98"/>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row>
    <row r="25" spans="1:113" s="2" customFormat="1" ht="18" customHeight="1">
      <c r="A25" s="115" t="s">
        <v>199</v>
      </c>
      <c r="B25" s="31" t="s">
        <v>219</v>
      </c>
      <c r="C25" s="116">
        <f aca="true" t="shared" si="3" ref="C25:D33">C105+C154</f>
        <v>0</v>
      </c>
      <c r="D25" s="116">
        <f t="shared" si="3"/>
        <v>0</v>
      </c>
      <c r="E25" s="116">
        <f aca="true" t="shared" si="4" ref="E25:E33">E105+F105+E154+F154</f>
        <v>0</v>
      </c>
      <c r="F25" s="116">
        <f aca="true" t="shared" si="5" ref="F25:F33">I105+J105+I154+J154</f>
        <v>0</v>
      </c>
      <c r="G25" s="118" t="str">
        <f>IF((C25-D25-E25-F25)=0,"    --",H25/(C25+D25-E25-F25)*100)</f>
        <v xml:space="preserve">    --</v>
      </c>
      <c r="H25" s="116">
        <f aca="true" t="shared" si="6" ref="H25:H33">H105+H154</f>
        <v>0</v>
      </c>
      <c r="I25" s="116">
        <f>K105+K154</f>
        <v>0</v>
      </c>
      <c r="J25" s="99"/>
      <c r="K25" s="98"/>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row>
    <row r="26" spans="1:113" s="2" customFormat="1" ht="18" customHeight="1">
      <c r="A26" s="115" t="s">
        <v>201</v>
      </c>
      <c r="B26" s="31" t="s">
        <v>220</v>
      </c>
      <c r="C26" s="116">
        <f t="shared" si="3"/>
        <v>0</v>
      </c>
      <c r="D26" s="116">
        <f t="shared" si="3"/>
        <v>0</v>
      </c>
      <c r="E26" s="116">
        <f t="shared" si="4"/>
        <v>0</v>
      </c>
      <c r="F26" s="116">
        <f t="shared" si="5"/>
        <v>0</v>
      </c>
      <c r="G26" s="118" t="str">
        <f aca="true" t="shared" si="7" ref="G26:G33">IF((C26-D26-E26-F26)=0,"    --",H26/(C26+D26-E26-F26)*100)</f>
        <v xml:space="preserve">    --</v>
      </c>
      <c r="H26" s="116">
        <f t="shared" si="6"/>
        <v>0</v>
      </c>
      <c r="I26" s="116">
        <f aca="true" t="shared" si="8" ref="I26:I33">K106+K155</f>
        <v>0</v>
      </c>
      <c r="J26" s="99"/>
      <c r="K26" s="98"/>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row>
    <row r="27" spans="1:113" s="2" customFormat="1" ht="18" customHeight="1">
      <c r="A27" s="115" t="s">
        <v>203</v>
      </c>
      <c r="B27" s="31" t="s">
        <v>221</v>
      </c>
      <c r="C27" s="116">
        <f t="shared" si="3"/>
        <v>38983798.02</v>
      </c>
      <c r="D27" s="116">
        <f t="shared" si="3"/>
        <v>-1237665.02</v>
      </c>
      <c r="E27" s="116">
        <f t="shared" si="4"/>
        <v>857593.51</v>
      </c>
      <c r="F27" s="116">
        <f t="shared" si="5"/>
        <v>1294758.91</v>
      </c>
      <c r="G27" s="118">
        <f t="shared" si="7"/>
        <v>85.81944149300028</v>
      </c>
      <c r="H27" s="116">
        <f t="shared" si="6"/>
        <v>30546383.700000003</v>
      </c>
      <c r="I27" s="116">
        <f t="shared" si="8"/>
        <v>5047396.879999999</v>
      </c>
      <c r="J27" s="99"/>
      <c r="K27" s="98"/>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row>
    <row r="28" spans="1:113" s="2" customFormat="1" ht="18" customHeight="1">
      <c r="A28" s="115" t="s">
        <v>205</v>
      </c>
      <c r="B28" s="31" t="s">
        <v>206</v>
      </c>
      <c r="C28" s="116">
        <f t="shared" si="3"/>
        <v>188727934.16999996</v>
      </c>
      <c r="D28" s="116">
        <f t="shared" si="3"/>
        <v>-300</v>
      </c>
      <c r="E28" s="116">
        <f t="shared" si="4"/>
        <v>10974.04</v>
      </c>
      <c r="F28" s="116">
        <f t="shared" si="5"/>
        <v>0</v>
      </c>
      <c r="G28" s="118">
        <f t="shared" si="7"/>
        <v>99.40344311454831</v>
      </c>
      <c r="H28" s="116">
        <f t="shared" si="6"/>
        <v>187590857.89999998</v>
      </c>
      <c r="I28" s="116">
        <f t="shared" si="8"/>
        <v>1125802.2299999744</v>
      </c>
      <c r="J28" s="99"/>
      <c r="K28" s="98"/>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row>
    <row r="29" spans="1:113" s="2" customFormat="1" ht="18" customHeight="1">
      <c r="A29" s="115" t="s">
        <v>222</v>
      </c>
      <c r="B29" s="31" t="s">
        <v>223</v>
      </c>
      <c r="C29" s="116">
        <f t="shared" si="3"/>
        <v>2348332.84</v>
      </c>
      <c r="D29" s="116">
        <f t="shared" si="3"/>
        <v>-8280.26</v>
      </c>
      <c r="E29" s="116">
        <f t="shared" si="4"/>
        <v>158757.04</v>
      </c>
      <c r="F29" s="116">
        <f t="shared" si="5"/>
        <v>83035.26</v>
      </c>
      <c r="G29" s="118">
        <f t="shared" si="7"/>
        <v>41.88474653868966</v>
      </c>
      <c r="H29" s="116">
        <f t="shared" si="6"/>
        <v>878851.0000000001</v>
      </c>
      <c r="I29" s="116">
        <f t="shared" si="8"/>
        <v>1219409.28</v>
      </c>
      <c r="J29" s="99"/>
      <c r="K29" s="98"/>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row>
    <row r="30" spans="1:113" s="2" customFormat="1" ht="18" customHeight="1">
      <c r="A30" s="115" t="s">
        <v>207</v>
      </c>
      <c r="B30" s="31" t="s">
        <v>224</v>
      </c>
      <c r="C30" s="116">
        <f t="shared" si="3"/>
        <v>54788.07000000001</v>
      </c>
      <c r="D30" s="116">
        <f t="shared" si="3"/>
        <v>0</v>
      </c>
      <c r="E30" s="116">
        <f t="shared" si="4"/>
        <v>0</v>
      </c>
      <c r="F30" s="116">
        <f t="shared" si="5"/>
        <v>0</v>
      </c>
      <c r="G30" s="118">
        <f t="shared" si="7"/>
        <v>7.659149154186302</v>
      </c>
      <c r="H30" s="116">
        <f t="shared" si="6"/>
        <v>4196.3</v>
      </c>
      <c r="I30" s="116">
        <f t="shared" si="8"/>
        <v>50591.770000000004</v>
      </c>
      <c r="J30" s="99"/>
      <c r="K30" s="98"/>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c r="AN30" s="45"/>
      <c r="AO30" s="45"/>
      <c r="AP30" s="45"/>
      <c r="AQ30" s="45"/>
      <c r="AR30" s="45"/>
      <c r="AS30" s="45"/>
      <c r="AT30" s="45"/>
      <c r="AU30" s="45"/>
      <c r="AV30" s="45"/>
      <c r="AW30" s="45"/>
      <c r="AX30" s="45"/>
      <c r="AY30" s="45"/>
      <c r="AZ30" s="45"/>
      <c r="BA30" s="45"/>
      <c r="BB30" s="45"/>
      <c r="BC30" s="45"/>
      <c r="BD30" s="45"/>
      <c r="BE30" s="45"/>
      <c r="BF30" s="45"/>
      <c r="BG30" s="45"/>
      <c r="BH30" s="45"/>
      <c r="BI30" s="45"/>
      <c r="BJ30" s="45"/>
      <c r="BK30" s="45"/>
      <c r="BL30" s="45"/>
      <c r="BM30" s="45"/>
      <c r="BN30" s="45"/>
      <c r="BO30" s="45"/>
      <c r="BP30" s="45"/>
      <c r="BQ30" s="45"/>
      <c r="BR30" s="45"/>
      <c r="BS30" s="45"/>
      <c r="BT30" s="45"/>
      <c r="BU30" s="45"/>
      <c r="BV30" s="45"/>
      <c r="BW30" s="45"/>
      <c r="BX30" s="45"/>
      <c r="BY30" s="45"/>
      <c r="BZ30" s="45"/>
      <c r="CA30" s="45"/>
      <c r="CB30" s="45"/>
      <c r="CC30" s="45"/>
      <c r="CD30" s="45"/>
      <c r="CE30" s="45"/>
      <c r="CF30" s="45"/>
      <c r="CG30" s="45"/>
      <c r="CH30" s="45"/>
      <c r="CI30" s="45"/>
      <c r="CJ30" s="45"/>
      <c r="CK30" s="45"/>
      <c r="CL30" s="45"/>
      <c r="CM30" s="45"/>
      <c r="CN30" s="45"/>
      <c r="CO30" s="45"/>
      <c r="CP30" s="45"/>
      <c r="CQ30" s="45"/>
      <c r="CR30" s="45"/>
      <c r="CS30" s="45"/>
      <c r="CT30" s="45"/>
      <c r="CU30" s="45"/>
      <c r="CV30" s="45"/>
      <c r="CW30" s="45"/>
      <c r="CX30" s="45"/>
      <c r="CY30" s="45"/>
      <c r="CZ30" s="45"/>
      <c r="DA30" s="45"/>
      <c r="DB30" s="45"/>
      <c r="DC30" s="45"/>
      <c r="DD30" s="45"/>
      <c r="DE30" s="45"/>
      <c r="DF30" s="45"/>
      <c r="DG30" s="45"/>
      <c r="DH30" s="45"/>
      <c r="DI30" s="45"/>
    </row>
    <row r="31" spans="1:113" s="2" customFormat="1" ht="18" customHeight="1">
      <c r="A31" s="115" t="s">
        <v>209</v>
      </c>
      <c r="B31" s="31" t="s">
        <v>210</v>
      </c>
      <c r="C31" s="116">
        <f t="shared" si="3"/>
        <v>25098096.45</v>
      </c>
      <c r="D31" s="116">
        <f t="shared" si="3"/>
        <v>0</v>
      </c>
      <c r="E31" s="116">
        <f t="shared" si="4"/>
        <v>2026214.15</v>
      </c>
      <c r="F31" s="116">
        <f t="shared" si="5"/>
        <v>6000</v>
      </c>
      <c r="G31" s="118">
        <f t="shared" si="7"/>
        <v>87.08413222068681</v>
      </c>
      <c r="H31" s="116">
        <f t="shared" si="6"/>
        <v>20086723.439999998</v>
      </c>
      <c r="I31" s="116">
        <f t="shared" si="8"/>
        <v>2979158.8600000036</v>
      </c>
      <c r="J31" s="99"/>
      <c r="K31" s="98"/>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45"/>
      <c r="AS31" s="45"/>
      <c r="AT31" s="45"/>
      <c r="AU31" s="45"/>
      <c r="AV31" s="45"/>
      <c r="AW31" s="45"/>
      <c r="AX31" s="45"/>
      <c r="AY31" s="45"/>
      <c r="AZ31" s="45"/>
      <c r="BA31" s="45"/>
      <c r="BB31" s="45"/>
      <c r="BC31" s="45"/>
      <c r="BD31" s="45"/>
      <c r="BE31" s="45"/>
      <c r="BF31" s="45"/>
      <c r="BG31" s="45"/>
      <c r="BH31" s="45"/>
      <c r="BI31" s="45"/>
      <c r="BJ31" s="45"/>
      <c r="BK31" s="45"/>
      <c r="BL31" s="45"/>
      <c r="BM31" s="45"/>
      <c r="BN31" s="45"/>
      <c r="BO31" s="45"/>
      <c r="BP31" s="45"/>
      <c r="BQ31" s="45"/>
      <c r="BR31" s="45"/>
      <c r="BS31" s="45"/>
      <c r="BT31" s="45"/>
      <c r="BU31" s="45"/>
      <c r="BV31" s="45"/>
      <c r="BW31" s="45"/>
      <c r="BX31" s="45"/>
      <c r="BY31" s="45"/>
      <c r="BZ31" s="45"/>
      <c r="CA31" s="45"/>
      <c r="CB31" s="45"/>
      <c r="CC31" s="45"/>
      <c r="CD31" s="45"/>
      <c r="CE31" s="45"/>
      <c r="CF31" s="45"/>
      <c r="CG31" s="45"/>
      <c r="CH31" s="45"/>
      <c r="CI31" s="45"/>
      <c r="CJ31" s="45"/>
      <c r="CK31" s="45"/>
      <c r="CL31" s="45"/>
      <c r="CM31" s="45"/>
      <c r="CN31" s="45"/>
      <c r="CO31" s="45"/>
      <c r="CP31" s="45"/>
      <c r="CQ31" s="45"/>
      <c r="CR31" s="45"/>
      <c r="CS31" s="45"/>
      <c r="CT31" s="45"/>
      <c r="CU31" s="45"/>
      <c r="CV31" s="45"/>
      <c r="CW31" s="45"/>
      <c r="CX31" s="45"/>
      <c r="CY31" s="45"/>
      <c r="CZ31" s="45"/>
      <c r="DA31" s="45"/>
      <c r="DB31" s="45"/>
      <c r="DC31" s="45"/>
      <c r="DD31" s="45"/>
      <c r="DE31" s="45"/>
      <c r="DF31" s="45"/>
      <c r="DG31" s="45"/>
      <c r="DH31" s="45"/>
      <c r="DI31" s="45"/>
    </row>
    <row r="32" spans="1:113" s="2" customFormat="1" ht="18" customHeight="1">
      <c r="A32" s="115" t="s">
        <v>211</v>
      </c>
      <c r="B32" s="31" t="s">
        <v>212</v>
      </c>
      <c r="C32" s="116">
        <f t="shared" si="3"/>
        <v>0</v>
      </c>
      <c r="D32" s="116">
        <f t="shared" si="3"/>
        <v>0</v>
      </c>
      <c r="E32" s="116">
        <f t="shared" si="4"/>
        <v>0</v>
      </c>
      <c r="F32" s="116">
        <f t="shared" si="5"/>
        <v>0</v>
      </c>
      <c r="G32" s="118" t="str">
        <f t="shared" si="7"/>
        <v xml:space="preserve">    --</v>
      </c>
      <c r="H32" s="116">
        <f t="shared" si="6"/>
        <v>0</v>
      </c>
      <c r="I32" s="116">
        <f t="shared" si="8"/>
        <v>0</v>
      </c>
      <c r="J32" s="99"/>
      <c r="K32" s="98"/>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c r="AO32" s="45"/>
      <c r="AP32" s="45"/>
      <c r="AQ32" s="45"/>
      <c r="AR32" s="45"/>
      <c r="AS32" s="45"/>
      <c r="AT32" s="45"/>
      <c r="AU32" s="45"/>
      <c r="AV32" s="45"/>
      <c r="AW32" s="45"/>
      <c r="AX32" s="45"/>
      <c r="AY32" s="45"/>
      <c r="AZ32" s="45"/>
      <c r="BA32" s="45"/>
      <c r="BB32" s="45"/>
      <c r="BC32" s="45"/>
      <c r="BD32" s="45"/>
      <c r="BE32" s="45"/>
      <c r="BF32" s="45"/>
      <c r="BG32" s="45"/>
      <c r="BH32" s="45"/>
      <c r="BI32" s="45"/>
      <c r="BJ32" s="45"/>
      <c r="BK32" s="45"/>
      <c r="BL32" s="45"/>
      <c r="BM32" s="45"/>
      <c r="BN32" s="45"/>
      <c r="BO32" s="45"/>
      <c r="BP32" s="45"/>
      <c r="BQ32" s="45"/>
      <c r="BR32" s="45"/>
      <c r="BS32" s="45"/>
      <c r="BT32" s="45"/>
      <c r="BU32" s="45"/>
      <c r="BV32" s="45"/>
      <c r="BW32" s="45"/>
      <c r="BX32" s="45"/>
      <c r="BY32" s="45"/>
      <c r="BZ32" s="45"/>
      <c r="CA32" s="45"/>
      <c r="CB32" s="45"/>
      <c r="CC32" s="45"/>
      <c r="CD32" s="45"/>
      <c r="CE32" s="45"/>
      <c r="CF32" s="45"/>
      <c r="CG32" s="45"/>
      <c r="CH32" s="45"/>
      <c r="CI32" s="45"/>
      <c r="CJ32" s="45"/>
      <c r="CK32" s="45"/>
      <c r="CL32" s="45"/>
      <c r="CM32" s="45"/>
      <c r="CN32" s="45"/>
      <c r="CO32" s="45"/>
      <c r="CP32" s="45"/>
      <c r="CQ32" s="45"/>
      <c r="CR32" s="45"/>
      <c r="CS32" s="45"/>
      <c r="CT32" s="45"/>
      <c r="CU32" s="45"/>
      <c r="CV32" s="45"/>
      <c r="CW32" s="45"/>
      <c r="CX32" s="45"/>
      <c r="CY32" s="45"/>
      <c r="CZ32" s="45"/>
      <c r="DA32" s="45"/>
      <c r="DB32" s="45"/>
      <c r="DC32" s="45"/>
      <c r="DD32" s="45"/>
      <c r="DE32" s="45"/>
      <c r="DF32" s="45"/>
      <c r="DG32" s="45"/>
      <c r="DH32" s="45"/>
      <c r="DI32" s="45"/>
    </row>
    <row r="33" spans="1:113" s="2" customFormat="1" ht="18" customHeight="1">
      <c r="A33" s="115" t="s">
        <v>213</v>
      </c>
      <c r="B33" s="31" t="s">
        <v>214</v>
      </c>
      <c r="C33" s="116">
        <f t="shared" si="3"/>
        <v>118680.5</v>
      </c>
      <c r="D33" s="116">
        <f t="shared" si="3"/>
        <v>0</v>
      </c>
      <c r="E33" s="116">
        <f t="shared" si="4"/>
        <v>77510.13</v>
      </c>
      <c r="F33" s="116">
        <f t="shared" si="5"/>
        <v>0</v>
      </c>
      <c r="G33" s="118">
        <f t="shared" si="7"/>
        <v>99.9757106870791</v>
      </c>
      <c r="H33" s="116">
        <f t="shared" si="6"/>
        <v>41160.37</v>
      </c>
      <c r="I33" s="116">
        <f t="shared" si="8"/>
        <v>9.999999999992724</v>
      </c>
      <c r="J33" s="99"/>
      <c r="K33" s="98"/>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c r="AO33" s="45"/>
      <c r="AP33" s="45"/>
      <c r="AQ33" s="45"/>
      <c r="AR33" s="45"/>
      <c r="AS33" s="45"/>
      <c r="AT33" s="45"/>
      <c r="AU33" s="45"/>
      <c r="AV33" s="45"/>
      <c r="AW33" s="45"/>
      <c r="AX33" s="45"/>
      <c r="AY33" s="45"/>
      <c r="AZ33" s="45"/>
      <c r="BA33" s="45"/>
      <c r="BB33" s="45"/>
      <c r="BC33" s="45"/>
      <c r="BD33" s="45"/>
      <c r="BE33" s="45"/>
      <c r="BF33" s="45"/>
      <c r="BG33" s="45"/>
      <c r="BH33" s="45"/>
      <c r="BI33" s="45"/>
      <c r="BJ33" s="45"/>
      <c r="BK33" s="45"/>
      <c r="BL33" s="45"/>
      <c r="BM33" s="45"/>
      <c r="BN33" s="45"/>
      <c r="BO33" s="45"/>
      <c r="BP33" s="45"/>
      <c r="BQ33" s="45"/>
      <c r="BR33" s="45"/>
      <c r="BS33" s="45"/>
      <c r="BT33" s="45"/>
      <c r="BU33" s="45"/>
      <c r="BV33" s="45"/>
      <c r="BW33" s="45"/>
      <c r="BX33" s="45"/>
      <c r="BY33" s="45"/>
      <c r="BZ33" s="45"/>
      <c r="CA33" s="45"/>
      <c r="CB33" s="45"/>
      <c r="CC33" s="45"/>
      <c r="CD33" s="45"/>
      <c r="CE33" s="45"/>
      <c r="CF33" s="45"/>
      <c r="CG33" s="45"/>
      <c r="CH33" s="45"/>
      <c r="CI33" s="45"/>
      <c r="CJ33" s="45"/>
      <c r="CK33" s="45"/>
      <c r="CL33" s="45"/>
      <c r="CM33" s="45"/>
      <c r="CN33" s="45"/>
      <c r="CO33" s="45"/>
      <c r="CP33" s="45"/>
      <c r="CQ33" s="45"/>
      <c r="CR33" s="45"/>
      <c r="CS33" s="45"/>
      <c r="CT33" s="45"/>
      <c r="CU33" s="45"/>
      <c r="CV33" s="45"/>
      <c r="CW33" s="45"/>
      <c r="CX33" s="45"/>
      <c r="CY33" s="45"/>
      <c r="CZ33" s="45"/>
      <c r="DA33" s="45"/>
      <c r="DB33" s="45"/>
      <c r="DC33" s="45"/>
      <c r="DD33" s="45"/>
      <c r="DE33" s="45"/>
      <c r="DF33" s="45"/>
      <c r="DG33" s="45"/>
      <c r="DH33" s="45"/>
      <c r="DI33" s="45"/>
    </row>
    <row r="34" spans="1:113" s="2" customFormat="1" ht="18" customHeight="1" thickBot="1">
      <c r="A34" s="243" t="s">
        <v>329</v>
      </c>
      <c r="B34" s="243"/>
      <c r="C34" s="119">
        <f>SUM(C25:C33)</f>
        <v>255331630.04999995</v>
      </c>
      <c r="D34" s="119">
        <f aca="true" t="shared" si="9" ref="D34:I34">SUM(D25:D33)</f>
        <v>-1246245.28</v>
      </c>
      <c r="E34" s="119">
        <f t="shared" si="9"/>
        <v>3131048.87</v>
      </c>
      <c r="F34" s="119">
        <f t="shared" si="9"/>
        <v>1383794.17</v>
      </c>
      <c r="G34" s="173">
        <f>IF((C34-D34-E34-F34)=0,"    --",H34/(C34+D34-E34-F34)*100)</f>
        <v>95.82387851236246</v>
      </c>
      <c r="H34" s="119">
        <f t="shared" si="9"/>
        <v>239148172.70999998</v>
      </c>
      <c r="I34" s="119">
        <f t="shared" si="9"/>
        <v>10422369.019999977</v>
      </c>
      <c r="J34" s="99"/>
      <c r="K34" s="98"/>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5"/>
      <c r="DC34" s="45"/>
      <c r="DD34" s="45"/>
      <c r="DE34" s="45"/>
      <c r="DF34" s="45"/>
      <c r="DG34" s="45"/>
      <c r="DH34" s="45"/>
      <c r="DI34" s="45"/>
    </row>
    <row r="35" spans="1:195" s="2" customFormat="1" ht="12.95" customHeight="1">
      <c r="A35" s="24"/>
      <c r="B35" s="95"/>
      <c r="C35" s="95"/>
      <c r="D35" s="95"/>
      <c r="E35" s="95"/>
      <c r="F35" s="96"/>
      <c r="G35" s="96"/>
      <c r="H35" s="96"/>
      <c r="I35" s="95"/>
      <c r="J35" s="95"/>
      <c r="K35" s="9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c r="AS35" s="45"/>
      <c r="AT35" s="45"/>
      <c r="AU35" s="45"/>
      <c r="AV35" s="45"/>
      <c r="AW35" s="45"/>
      <c r="AX35" s="45"/>
      <c r="AY35" s="45"/>
      <c r="AZ35" s="45"/>
      <c r="BA35" s="45"/>
      <c r="BB35" s="45"/>
      <c r="BC35" s="45"/>
      <c r="BD35" s="45"/>
      <c r="BE35" s="45"/>
      <c r="BF35" s="45"/>
      <c r="BG35" s="45"/>
      <c r="BH35" s="45"/>
      <c r="BI35" s="45"/>
      <c r="BJ35" s="45"/>
      <c r="BK35" s="45"/>
      <c r="BL35" s="45"/>
      <c r="BM35" s="45"/>
      <c r="BN35" s="45"/>
      <c r="BO35" s="45"/>
      <c r="BP35" s="45"/>
      <c r="BQ35" s="45"/>
      <c r="BR35" s="45"/>
      <c r="BS35" s="45"/>
      <c r="BT35" s="45"/>
      <c r="BU35" s="45"/>
      <c r="BV35" s="45"/>
      <c r="BW35" s="45"/>
      <c r="BX35" s="45"/>
      <c r="BY35" s="45"/>
      <c r="BZ35" s="45"/>
      <c r="CA35" s="45"/>
      <c r="CB35" s="45"/>
      <c r="CC35" s="45"/>
      <c r="CD35" s="45"/>
      <c r="CE35" s="45"/>
      <c r="CF35" s="45"/>
      <c r="CG35" s="45"/>
      <c r="CH35" s="45"/>
      <c r="CI35" s="45"/>
      <c r="CJ35" s="45"/>
      <c r="CK35" s="45"/>
      <c r="CL35" s="45"/>
      <c r="CM35" s="45"/>
      <c r="CN35" s="45"/>
      <c r="CO35" s="45"/>
      <c r="CP35" s="45"/>
      <c r="CQ35" s="45"/>
      <c r="CR35" s="45"/>
      <c r="CS35" s="45"/>
      <c r="CT35" s="45"/>
      <c r="CU35" s="45"/>
      <c r="CV35" s="45"/>
      <c r="CW35" s="45"/>
      <c r="CX35" s="45"/>
      <c r="CY35" s="45"/>
      <c r="CZ35" s="45"/>
      <c r="DA35" s="45"/>
      <c r="DB35" s="45"/>
      <c r="DC35" s="45"/>
      <c r="DD35" s="45"/>
      <c r="DE35" s="45"/>
      <c r="DF35" s="45"/>
      <c r="DG35" s="45"/>
      <c r="DH35" s="45"/>
      <c r="DI35" s="45"/>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row>
    <row r="36" ht="12.95" customHeight="1">
      <c r="I36" s="26"/>
    </row>
    <row r="37" spans="1:5" ht="21" customHeight="1">
      <c r="A37" s="97" t="s">
        <v>410</v>
      </c>
      <c r="E37" s="97" t="s">
        <v>411</v>
      </c>
    </row>
    <row r="38" ht="12.95" customHeight="1"/>
    <row r="39" spans="1:5" ht="18" customHeight="1" thickBot="1">
      <c r="A39" s="32" t="s">
        <v>10</v>
      </c>
      <c r="E39" s="32" t="s">
        <v>10</v>
      </c>
    </row>
    <row r="40" spans="1:9" s="32" customFormat="1" ht="33" customHeight="1">
      <c r="A40" s="227" t="s">
        <v>14</v>
      </c>
      <c r="B40" s="227"/>
      <c r="C40" s="28">
        <f>I1</f>
        <v>2016</v>
      </c>
      <c r="E40" s="227" t="s">
        <v>14</v>
      </c>
      <c r="F40" s="227"/>
      <c r="G40" s="165"/>
      <c r="H40" s="28">
        <f>I1</f>
        <v>2016</v>
      </c>
      <c r="I40" s="3"/>
    </row>
    <row r="41" spans="1:9" s="32" customFormat="1" ht="18" customHeight="1">
      <c r="A41" s="166" t="s">
        <v>330</v>
      </c>
      <c r="B41" s="166" t="s">
        <v>331</v>
      </c>
      <c r="C41" s="167">
        <f aca="true" t="shared" si="10" ref="C41:C57">C118+C167</f>
        <v>272946405.68</v>
      </c>
      <c r="E41" s="166" t="s">
        <v>332</v>
      </c>
      <c r="F41" s="166"/>
      <c r="G41" s="167"/>
      <c r="H41" s="138">
        <f aca="true" t="shared" si="11" ref="H41:H52">F118+F167</f>
        <v>1559006907.57</v>
      </c>
      <c r="I41" s="3"/>
    </row>
    <row r="42" spans="1:9" s="32" customFormat="1" ht="18" customHeight="1">
      <c r="A42" s="31" t="s">
        <v>333</v>
      </c>
      <c r="B42" s="31" t="s">
        <v>334</v>
      </c>
      <c r="C42" s="36">
        <f t="shared" si="10"/>
        <v>259048397.83</v>
      </c>
      <c r="E42" s="232" t="s">
        <v>335</v>
      </c>
      <c r="F42" s="232"/>
      <c r="G42" s="232"/>
      <c r="H42" s="139">
        <f t="shared" si="11"/>
        <v>855821738.04</v>
      </c>
      <c r="I42" s="3"/>
    </row>
    <row r="43" spans="1:9" s="32" customFormat="1" ht="18" customHeight="1">
      <c r="A43" s="31" t="s">
        <v>333</v>
      </c>
      <c r="B43" s="31" t="s">
        <v>336</v>
      </c>
      <c r="C43" s="36">
        <f t="shared" si="10"/>
        <v>10422369.02</v>
      </c>
      <c r="E43" s="232" t="s">
        <v>337</v>
      </c>
      <c r="F43" s="232"/>
      <c r="G43" s="232"/>
      <c r="H43" s="139">
        <f t="shared" si="11"/>
        <v>239148172.70999998</v>
      </c>
      <c r="I43" s="3"/>
    </row>
    <row r="44" spans="1:9" s="32" customFormat="1" ht="18" customHeight="1">
      <c r="A44" s="31" t="s">
        <v>338</v>
      </c>
      <c r="B44" s="31" t="s">
        <v>339</v>
      </c>
      <c r="C44" s="36">
        <f t="shared" si="10"/>
        <v>13335984.68</v>
      </c>
      <c r="E44" s="232" t="s">
        <v>340</v>
      </c>
      <c r="F44" s="232"/>
      <c r="G44" s="232"/>
      <c r="H44" s="139">
        <f t="shared" si="11"/>
        <v>464036996.82</v>
      </c>
      <c r="I44" s="3"/>
    </row>
    <row r="45" spans="1:9" s="32" customFormat="1" ht="18" customHeight="1">
      <c r="A45" s="31" t="s">
        <v>338</v>
      </c>
      <c r="B45" s="31" t="s">
        <v>341</v>
      </c>
      <c r="C45" s="36">
        <f t="shared" si="10"/>
        <v>268186.77</v>
      </c>
      <c r="E45" s="232" t="s">
        <v>342</v>
      </c>
      <c r="F45" s="232"/>
      <c r="G45" s="232"/>
      <c r="H45" s="139">
        <f t="shared" si="11"/>
        <v>0</v>
      </c>
      <c r="I45" s="3"/>
    </row>
    <row r="46" spans="1:9" s="32" customFormat="1" ht="18" customHeight="1">
      <c r="A46" s="31" t="s">
        <v>343</v>
      </c>
      <c r="B46" s="31" t="s">
        <v>344</v>
      </c>
      <c r="C46" s="36">
        <f t="shared" si="10"/>
        <v>5460370.64</v>
      </c>
      <c r="E46" s="140" t="s">
        <v>345</v>
      </c>
      <c r="F46" s="140"/>
      <c r="G46" s="30"/>
      <c r="H46" s="190">
        <f t="shared" si="11"/>
        <v>1533095290.36</v>
      </c>
      <c r="I46" s="3"/>
    </row>
    <row r="47" spans="1:9" s="32" customFormat="1" ht="18" customHeight="1">
      <c r="A47" s="31" t="s">
        <v>346</v>
      </c>
      <c r="B47" s="31" t="s">
        <v>347</v>
      </c>
      <c r="C47" s="36">
        <f t="shared" si="10"/>
        <v>4668161.9799999995</v>
      </c>
      <c r="E47" s="232" t="s">
        <v>335</v>
      </c>
      <c r="F47" s="232"/>
      <c r="G47" s="232"/>
      <c r="H47" s="139">
        <f t="shared" si="11"/>
        <v>1023096647.34</v>
      </c>
      <c r="I47" s="3"/>
    </row>
    <row r="48" spans="1:9" s="32" customFormat="1" ht="18" customHeight="1">
      <c r="A48" s="140" t="s">
        <v>348</v>
      </c>
      <c r="B48" s="140" t="s">
        <v>349</v>
      </c>
      <c r="C48" s="30">
        <f t="shared" si="10"/>
        <v>66205188.489999995</v>
      </c>
      <c r="E48" s="232" t="s">
        <v>337</v>
      </c>
      <c r="F48" s="232"/>
      <c r="G48" s="232"/>
      <c r="H48" s="139">
        <f t="shared" si="11"/>
        <v>42777130.75</v>
      </c>
      <c r="I48" s="3"/>
    </row>
    <row r="49" spans="1:9" s="32" customFormat="1" ht="18" customHeight="1">
      <c r="A49" s="31" t="s">
        <v>350</v>
      </c>
      <c r="B49" s="31" t="s">
        <v>351</v>
      </c>
      <c r="C49" s="36">
        <f t="shared" si="10"/>
        <v>35954315.78</v>
      </c>
      <c r="E49" s="232" t="s">
        <v>340</v>
      </c>
      <c r="F49" s="232"/>
      <c r="G49" s="232"/>
      <c r="H49" s="139">
        <f t="shared" si="11"/>
        <v>467197444.02000004</v>
      </c>
      <c r="I49" s="3"/>
    </row>
    <row r="50" spans="1:9" s="32" customFormat="1" ht="18" customHeight="1">
      <c r="A50" s="31" t="s">
        <v>350</v>
      </c>
      <c r="B50" s="31" t="s">
        <v>352</v>
      </c>
      <c r="C50" s="36">
        <f t="shared" si="10"/>
        <v>472619.01</v>
      </c>
      <c r="E50" s="249" t="s">
        <v>342</v>
      </c>
      <c r="F50" s="249"/>
      <c r="G50" s="249"/>
      <c r="H50" s="139">
        <f t="shared" si="11"/>
        <v>24068.25</v>
      </c>
      <c r="I50" s="3"/>
    </row>
    <row r="51" spans="1:9" s="32" customFormat="1" ht="18" customHeight="1">
      <c r="A51" s="31" t="s">
        <v>350</v>
      </c>
      <c r="B51" s="31" t="s">
        <v>353</v>
      </c>
      <c r="C51" s="36">
        <f t="shared" si="10"/>
        <v>28236608.68</v>
      </c>
      <c r="E51" s="166" t="s">
        <v>354</v>
      </c>
      <c r="F51" s="166"/>
      <c r="G51" s="167"/>
      <c r="H51" s="190">
        <f t="shared" si="11"/>
        <v>25911617.20999995</v>
      </c>
      <c r="I51" s="3"/>
    </row>
    <row r="52" spans="1:9" s="32" customFormat="1" ht="18" customHeight="1">
      <c r="A52" s="31" t="s">
        <v>338</v>
      </c>
      <c r="B52" s="31" t="s">
        <v>355</v>
      </c>
      <c r="C52" s="36">
        <f t="shared" si="10"/>
        <v>2032719.79</v>
      </c>
      <c r="E52" s="166" t="s">
        <v>356</v>
      </c>
      <c r="F52" s="166"/>
      <c r="G52" s="167"/>
      <c r="H52" s="138">
        <f t="shared" si="11"/>
        <v>132773237.22</v>
      </c>
      <c r="I52" s="3"/>
    </row>
    <row r="53" spans="1:3" s="32" customFormat="1" ht="18" customHeight="1">
      <c r="A53" s="31" t="s">
        <v>346</v>
      </c>
      <c r="B53" s="31" t="s">
        <v>357</v>
      </c>
      <c r="C53" s="36">
        <f t="shared" si="10"/>
        <v>491074.77</v>
      </c>
    </row>
    <row r="54" spans="1:8" s="32" customFormat="1" ht="18" customHeight="1" thickBot="1">
      <c r="A54" s="140" t="s">
        <v>358</v>
      </c>
      <c r="B54" s="140" t="s">
        <v>359</v>
      </c>
      <c r="C54" s="30">
        <f t="shared" si="10"/>
        <v>158684854.43</v>
      </c>
      <c r="E54" s="174" t="s">
        <v>360</v>
      </c>
      <c r="F54" s="174"/>
      <c r="G54" s="37"/>
      <c r="H54" s="189">
        <f>F130+F179</f>
        <v>158684854.42999995</v>
      </c>
    </row>
    <row r="55" spans="1:3" s="32" customFormat="1" ht="18" customHeight="1">
      <c r="A55" s="175" t="s">
        <v>361</v>
      </c>
      <c r="B55" s="140" t="s">
        <v>362</v>
      </c>
      <c r="C55" s="30">
        <f t="shared" si="10"/>
        <v>203777923.01999998</v>
      </c>
    </row>
    <row r="56" spans="1:8" s="32" customFormat="1" ht="18" customHeight="1">
      <c r="A56" s="175" t="s">
        <v>363</v>
      </c>
      <c r="B56" s="140" t="s">
        <v>364</v>
      </c>
      <c r="C56" s="30">
        <f t="shared" si="10"/>
        <v>161648148.58999997</v>
      </c>
      <c r="D56" s="39"/>
      <c r="H56" s="39"/>
    </row>
    <row r="57" spans="1:5" s="32" customFormat="1" ht="18" customHeight="1" thickBot="1">
      <c r="A57" s="176" t="s">
        <v>365</v>
      </c>
      <c r="B57" s="177" t="s">
        <v>366</v>
      </c>
      <c r="C57" s="189">
        <f t="shared" si="10"/>
        <v>365426071.62</v>
      </c>
      <c r="D57" s="39"/>
      <c r="E57" s="39"/>
    </row>
    <row r="58" s="32" customFormat="1" ht="12.95" customHeight="1">
      <c r="E58" s="39"/>
    </row>
    <row r="59" s="32" customFormat="1" ht="21" customHeight="1">
      <c r="A59" s="97" t="s">
        <v>44</v>
      </c>
    </row>
    <row r="60" spans="12:16" s="32" customFormat="1" ht="12.95" customHeight="1" thickBot="1">
      <c r="L60" s="41">
        <v>21500</v>
      </c>
      <c r="M60" s="41">
        <v>21501</v>
      </c>
      <c r="N60" s="41">
        <v>21502</v>
      </c>
      <c r="O60" s="41">
        <v>21503</v>
      </c>
      <c r="P60" s="41">
        <v>21504</v>
      </c>
    </row>
    <row r="61" spans="1:16" s="32" customFormat="1" ht="33" customHeight="1">
      <c r="A61" s="227" t="s">
        <v>57</v>
      </c>
      <c r="B61" s="227"/>
      <c r="C61" s="27"/>
      <c r="D61" s="28">
        <f>I1</f>
        <v>2016</v>
      </c>
      <c r="L61" s="41" t="s">
        <v>484</v>
      </c>
      <c r="M61" s="41" t="s">
        <v>484</v>
      </c>
      <c r="N61" s="41" t="s">
        <v>484</v>
      </c>
      <c r="O61" s="41" t="s">
        <v>484</v>
      </c>
      <c r="P61" s="41" t="s">
        <v>484</v>
      </c>
    </row>
    <row r="62" spans="1:16" s="32" customFormat="1" ht="18" customHeight="1" thickBot="1">
      <c r="A62" s="104" t="s">
        <v>42</v>
      </c>
      <c r="B62" s="105"/>
      <c r="C62" s="105"/>
      <c r="D62" s="106">
        <f>SUM(L64:P64)</f>
        <v>18351</v>
      </c>
      <c r="L62" s="41" t="s">
        <v>0</v>
      </c>
      <c r="M62" s="41" t="s">
        <v>1</v>
      </c>
      <c r="N62" s="41" t="s">
        <v>2</v>
      </c>
      <c r="O62" s="41" t="s">
        <v>3</v>
      </c>
      <c r="P62" s="41" t="s">
        <v>4</v>
      </c>
    </row>
    <row r="63" spans="1:16" s="32" customFormat="1" ht="12" customHeight="1">
      <c r="A63" s="3"/>
      <c r="B63" s="3"/>
      <c r="C63" s="3"/>
      <c r="D63" s="3"/>
      <c r="E63" s="101"/>
      <c r="F63" s="101"/>
      <c r="G63" s="101"/>
      <c r="H63" s="101"/>
      <c r="I63" s="101"/>
      <c r="L63" s="41"/>
      <c r="M63" s="41"/>
      <c r="N63" s="41"/>
      <c r="O63" s="41"/>
      <c r="P63" s="41"/>
    </row>
    <row r="64" spans="1:16" s="32" customFormat="1" ht="18" customHeight="1">
      <c r="A64" s="1" t="str">
        <f>IF(COUNTIF(L64:P64,"Sin información")=0,"* En su defecto, empleados a fin de ejercicio.","* En su defecto, empleados a fin de ejercicio. En "&amp;COUNTIF(L64:P64,"Sin información")&amp;" de las "&amp;COUNTA(L64:P64)&amp;" cuentas agregadas, la memoria no ofrece dicha información.")</f>
        <v>* En su defecto, empleados a fin de ejercicio.</v>
      </c>
      <c r="B64" s="3"/>
      <c r="C64" s="3"/>
      <c r="D64" s="3"/>
      <c r="E64" s="101"/>
      <c r="F64" s="101"/>
      <c r="G64" s="101"/>
      <c r="H64" s="101"/>
      <c r="I64" s="101"/>
      <c r="L64" s="101">
        <f>'[1]8100'!$D$6</f>
        <v>5322</v>
      </c>
      <c r="M64" s="101">
        <f>'[2]8100'!$D$6</f>
        <v>5008</v>
      </c>
      <c r="N64" s="101">
        <f>'[3]8100'!$D$6</f>
        <v>3899</v>
      </c>
      <c r="O64" s="101">
        <f>'[4]8100'!$D$6</f>
        <v>2298</v>
      </c>
      <c r="P64" s="101">
        <f>'[5]8100'!$D$6</f>
        <v>1824</v>
      </c>
    </row>
    <row r="65" spans="1:16" s="32" customFormat="1" ht="12.95" customHeight="1" thickBot="1">
      <c r="A65" s="1"/>
      <c r="B65" s="3"/>
      <c r="C65" s="3"/>
      <c r="D65" s="3"/>
      <c r="E65" s="101"/>
      <c r="F65" s="101"/>
      <c r="G65" s="101"/>
      <c r="H65" s="101"/>
      <c r="I65" s="101"/>
      <c r="L65" s="101"/>
      <c r="M65" s="101"/>
      <c r="N65" s="101"/>
      <c r="O65" s="101"/>
      <c r="P65" s="101"/>
    </row>
    <row r="66" spans="1:16" s="32" customFormat="1" ht="33" customHeight="1">
      <c r="A66" s="227" t="s">
        <v>58</v>
      </c>
      <c r="B66" s="227"/>
      <c r="C66" s="27"/>
      <c r="D66" s="27"/>
      <c r="E66" s="27"/>
      <c r="F66" s="28">
        <f>I1</f>
        <v>2016</v>
      </c>
      <c r="L66" s="41"/>
      <c r="M66" s="41"/>
      <c r="N66" s="41"/>
      <c r="O66" s="41"/>
      <c r="P66" s="41"/>
    </row>
    <row r="67" spans="1:16" s="32" customFormat="1" ht="18" customHeight="1">
      <c r="A67" s="201" t="s">
        <v>486</v>
      </c>
      <c r="B67" s="201"/>
      <c r="C67" s="201"/>
      <c r="D67" s="201"/>
      <c r="E67" s="201"/>
      <c r="F67" s="202">
        <f>SUM(L67:P67)</f>
        <v>0</v>
      </c>
      <c r="L67" s="100">
        <f>'[1]8100'!$H$10</f>
        <v>0</v>
      </c>
      <c r="M67" s="100">
        <f>'[2]8100'!$H$10</f>
        <v>0</v>
      </c>
      <c r="N67" s="100">
        <f>'[3]8100'!$H$10</f>
        <v>0</v>
      </c>
      <c r="O67" s="100">
        <f>'[4]8100'!$H$10</f>
        <v>0</v>
      </c>
      <c r="P67" s="100">
        <f>'[5]8100'!$H$10</f>
        <v>0</v>
      </c>
    </row>
    <row r="68" spans="1:16" s="32" customFormat="1" ht="18" customHeight="1">
      <c r="A68" s="203" t="s">
        <v>487</v>
      </c>
      <c r="B68" s="201"/>
      <c r="C68" s="201"/>
      <c r="D68" s="201"/>
      <c r="E68" s="201"/>
      <c r="F68" s="202">
        <f>SUM(L68:P68)</f>
        <v>0</v>
      </c>
      <c r="L68" s="100">
        <f>'[1]8100'!$H$11</f>
        <v>0</v>
      </c>
      <c r="M68" s="100">
        <f>'[2]8100'!$H$11</f>
        <v>0</v>
      </c>
      <c r="N68" s="100">
        <f>'[3]8100'!$H$11</f>
        <v>0</v>
      </c>
      <c r="O68" s="100">
        <f>'[4]8100'!$H$11</f>
        <v>0</v>
      </c>
      <c r="P68" s="100">
        <f>'[5]8100'!$H$11</f>
        <v>0</v>
      </c>
    </row>
    <row r="69" spans="1:16" s="32" customFormat="1" ht="18" customHeight="1" thickBot="1">
      <c r="A69" s="204" t="s">
        <v>488</v>
      </c>
      <c r="B69" s="104"/>
      <c r="C69" s="104"/>
      <c r="D69" s="104"/>
      <c r="E69" s="104"/>
      <c r="F69" s="200">
        <f>SUM(L69:P69)</f>
        <v>0</v>
      </c>
      <c r="L69" s="100">
        <f>'[1]8100'!$H$18</f>
        <v>0</v>
      </c>
      <c r="M69" s="100">
        <f>'[2]8100'!$H$18</f>
        <v>0</v>
      </c>
      <c r="N69" s="100">
        <f>'[3]8100'!$H$18</f>
        <v>0</v>
      </c>
      <c r="O69" s="100">
        <f>'[4]8100'!$H$18</f>
        <v>0</v>
      </c>
      <c r="P69" s="100">
        <f>'[5]8100'!$H$18</f>
        <v>0</v>
      </c>
    </row>
    <row r="70" spans="1:9" s="32" customFormat="1" ht="12.95" customHeight="1" thickBot="1">
      <c r="A70" s="1"/>
      <c r="B70" s="3"/>
      <c r="C70" s="3"/>
      <c r="D70" s="3"/>
      <c r="E70" s="101"/>
      <c r="F70" s="101"/>
      <c r="G70" s="101"/>
      <c r="H70" s="101"/>
      <c r="I70" s="101"/>
    </row>
    <row r="71" spans="1:9" s="32" customFormat="1" ht="33" customHeight="1">
      <c r="A71" s="227" t="s">
        <v>490</v>
      </c>
      <c r="B71" s="227"/>
      <c r="C71" s="217"/>
      <c r="D71" s="217"/>
      <c r="E71" s="217"/>
      <c r="F71" s="28">
        <f>I1</f>
        <v>2016</v>
      </c>
      <c r="G71" s="101"/>
      <c r="H71" s="101"/>
      <c r="I71" s="101"/>
    </row>
    <row r="72" spans="1:16" s="32" customFormat="1" ht="18" customHeight="1">
      <c r="A72" s="201" t="s">
        <v>491</v>
      </c>
      <c r="B72" s="201"/>
      <c r="C72" s="201"/>
      <c r="D72" s="201"/>
      <c r="E72" s="201"/>
      <c r="F72" s="223">
        <f>SUM(L72:P72)/5</f>
        <v>3.11</v>
      </c>
      <c r="G72" s="101"/>
      <c r="H72" s="101"/>
      <c r="I72" s="101"/>
      <c r="L72" s="219">
        <f>'[1]8100'!$H$30</f>
        <v>-14.82</v>
      </c>
      <c r="M72" s="219">
        <f>'[2]8100'!$H$30</f>
        <v>21.41</v>
      </c>
      <c r="N72" s="219">
        <f>'[3]8100'!$H$30</f>
        <v>6.04</v>
      </c>
      <c r="O72" s="219">
        <f>'[4]8100'!$H$30</f>
        <v>-10.06</v>
      </c>
      <c r="P72" s="219">
        <f>'[5]8100'!$H$30</f>
        <v>12.98</v>
      </c>
    </row>
    <row r="73" spans="1:16" s="32" customFormat="1" ht="18" customHeight="1" thickBot="1">
      <c r="A73" s="204" t="s">
        <v>492</v>
      </c>
      <c r="B73" s="104"/>
      <c r="C73" s="104"/>
      <c r="D73" s="104"/>
      <c r="E73" s="104"/>
      <c r="F73" s="222">
        <f>SUM(L73:P73)/4</f>
        <v>40.832499999999996</v>
      </c>
      <c r="G73" s="101"/>
      <c r="H73" s="101"/>
      <c r="I73" s="101"/>
      <c r="L73" s="219">
        <f>'[1]8100'!$H$31</f>
        <v>34</v>
      </c>
      <c r="M73" s="219">
        <f>'[2]8100'!$H$31</f>
        <v>20.07</v>
      </c>
      <c r="N73" s="219">
        <f>'[3]8100'!$H$31</f>
        <v>42.05</v>
      </c>
      <c r="O73" s="219">
        <f>'[4]8100'!$H$31</f>
        <v>21.52</v>
      </c>
      <c r="P73" s="219">
        <f>'[5]8100'!$H$31</f>
        <v>45.69</v>
      </c>
    </row>
    <row r="74" spans="1:16" s="32" customFormat="1" ht="12.95" customHeight="1">
      <c r="A74" s="220"/>
      <c r="B74" s="220"/>
      <c r="C74" s="220"/>
      <c r="D74" s="220"/>
      <c r="E74" s="220"/>
      <c r="F74" s="42"/>
      <c r="G74" s="101"/>
      <c r="H74" s="101"/>
      <c r="I74" s="101"/>
      <c r="L74" s="221"/>
      <c r="M74" s="221"/>
      <c r="N74" s="221"/>
      <c r="O74" s="221"/>
      <c r="P74" s="221"/>
    </row>
    <row r="75" spans="1:16" s="32" customFormat="1" ht="18" customHeight="1">
      <c r="A75" s="216" t="str">
        <f>IF(COUNTIF(L72:P72,"Sin información")=0,"(a) En media de las universidades que lo declaran.","(a) En media de las universidades que lo declaran. En "&amp;COUNTIF(L72:P72,"Sin información")&amp;" de las "&amp;COUNTA(L72:P72)&amp;" cuentas agregadas, la memoria no ofrece dicha información.")</f>
        <v>(a) En media de las universidades que lo declaran.</v>
      </c>
      <c r="B75" s="220"/>
      <c r="C75" s="220"/>
      <c r="D75" s="220"/>
      <c r="E75" s="220"/>
      <c r="F75" s="42"/>
      <c r="G75" s="101"/>
      <c r="H75" s="101"/>
      <c r="I75" s="101"/>
      <c r="L75" s="221"/>
      <c r="M75" s="221"/>
      <c r="N75" s="221"/>
      <c r="O75" s="221"/>
      <c r="P75" s="221"/>
    </row>
    <row r="76" spans="1:16" s="32" customFormat="1" ht="18" customHeight="1">
      <c r="A76" s="216" t="str">
        <f>IF(COUNTIF(L73:P73,"Sin información")=0,"(b) En media de las universidades que lo declaran.","(b) En media de las universidades que lo declaran. En "&amp;COUNTIF(L73:P73,"Sin información")&amp;" de las "&amp;COUNTA(L73:P73)&amp;" cuentas agregadas, la memoria no ofrece dicha información.")</f>
        <v>(b) En media de las universidades que lo declaran.</v>
      </c>
      <c r="B76" s="220"/>
      <c r="C76" s="220"/>
      <c r="D76" s="220"/>
      <c r="E76" s="220"/>
      <c r="F76" s="42"/>
      <c r="G76" s="101"/>
      <c r="H76" s="101"/>
      <c r="I76" s="101"/>
      <c r="L76" s="221"/>
      <c r="M76" s="221"/>
      <c r="N76" s="221"/>
      <c r="O76" s="221"/>
      <c r="P76" s="221"/>
    </row>
    <row r="77" spans="1:11" s="32" customFormat="1" ht="12.95" customHeight="1">
      <c r="A77" s="1"/>
      <c r="B77" s="3"/>
      <c r="C77" s="3"/>
      <c r="D77" s="3"/>
      <c r="E77" s="101"/>
      <c r="F77" s="101"/>
      <c r="G77" s="101"/>
      <c r="H77" s="101"/>
      <c r="I77" s="101"/>
      <c r="J77" s="101"/>
      <c r="K77" s="101"/>
    </row>
    <row r="78" spans="1:115" s="2" customFormat="1" ht="21" customHeight="1">
      <c r="A78" s="97" t="s">
        <v>15</v>
      </c>
      <c r="B78" s="125"/>
      <c r="C78" s="98"/>
      <c r="D78" s="98"/>
      <c r="E78" s="98"/>
      <c r="F78" s="98"/>
      <c r="G78" s="98"/>
      <c r="H78" s="99"/>
      <c r="I78" s="99"/>
      <c r="J78" s="98"/>
      <c r="K78" s="99"/>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c r="BH78" s="45"/>
      <c r="BI78" s="45"/>
      <c r="BJ78" s="45"/>
      <c r="BK78" s="45"/>
      <c r="BL78" s="45"/>
      <c r="BM78" s="45"/>
      <c r="BN78" s="45"/>
      <c r="BO78" s="45"/>
      <c r="BP78" s="45"/>
      <c r="BQ78" s="45"/>
      <c r="BR78" s="45"/>
      <c r="BS78" s="45"/>
      <c r="BT78" s="45"/>
      <c r="BU78" s="45"/>
      <c r="BV78" s="45"/>
      <c r="BW78" s="45"/>
      <c r="BX78" s="45"/>
      <c r="BY78" s="45"/>
      <c r="BZ78" s="45"/>
      <c r="CA78" s="45"/>
      <c r="CB78" s="45"/>
      <c r="CC78" s="45"/>
      <c r="CD78" s="45"/>
      <c r="CE78" s="45"/>
      <c r="CF78" s="45"/>
      <c r="CG78" s="45"/>
      <c r="CH78" s="45"/>
      <c r="CI78" s="45"/>
      <c r="CJ78" s="45"/>
      <c r="CK78" s="45"/>
      <c r="CL78" s="45"/>
      <c r="CM78" s="45"/>
      <c r="CN78" s="45"/>
      <c r="CO78" s="45"/>
      <c r="CP78" s="45"/>
      <c r="CQ78" s="45"/>
      <c r="CR78" s="45"/>
      <c r="CS78" s="45"/>
      <c r="CT78" s="45"/>
      <c r="CU78" s="45"/>
      <c r="CV78" s="45"/>
      <c r="CW78" s="45"/>
      <c r="CX78" s="45"/>
      <c r="CY78" s="45"/>
      <c r="CZ78" s="45"/>
      <c r="DA78" s="45"/>
      <c r="DB78" s="45"/>
      <c r="DC78" s="45"/>
      <c r="DD78" s="45"/>
      <c r="DE78" s="45"/>
      <c r="DF78" s="45"/>
      <c r="DG78" s="45"/>
      <c r="DH78" s="45"/>
      <c r="DI78" s="45"/>
      <c r="DJ78" s="45"/>
      <c r="DK78" s="45"/>
    </row>
    <row r="79" spans="1:115" s="144" customFormat="1" ht="12.95" customHeight="1">
      <c r="A79" s="97"/>
      <c r="B79" s="125"/>
      <c r="C79" s="98"/>
      <c r="D79" s="122"/>
      <c r="E79" s="98"/>
      <c r="F79" s="98"/>
      <c r="G79" s="98"/>
      <c r="H79" s="99"/>
      <c r="I79" s="124"/>
      <c r="J79" s="122"/>
      <c r="K79" s="124"/>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row>
    <row r="80" spans="1:8" ht="18" customHeight="1" thickBot="1">
      <c r="A80" s="110"/>
      <c r="B80" s="125"/>
      <c r="C80" s="195">
        <f>I1</f>
        <v>2016</v>
      </c>
      <c r="E80" s="98"/>
      <c r="F80" s="98"/>
      <c r="G80" s="98"/>
      <c r="H80" s="195">
        <f>I1</f>
        <v>2016</v>
      </c>
    </row>
    <row r="81" spans="1:8" ht="33" customHeight="1">
      <c r="A81" s="241" t="s">
        <v>252</v>
      </c>
      <c r="B81" s="241"/>
      <c r="C81" s="241"/>
      <c r="E81" s="241" t="s">
        <v>253</v>
      </c>
      <c r="F81" s="241"/>
      <c r="G81" s="241"/>
      <c r="H81" s="241"/>
    </row>
    <row r="82" spans="1:8" ht="18" customHeight="1">
      <c r="A82" s="32" t="s">
        <v>451</v>
      </c>
      <c r="C82" s="63">
        <f>IF(G20="    --","    --",G20/100)</f>
        <v>0.989072329606006</v>
      </c>
      <c r="E82" s="31" t="s">
        <v>367</v>
      </c>
      <c r="F82" s="61"/>
      <c r="G82" s="61"/>
      <c r="H82" s="63">
        <f>IF((C49+C50)=0,"    --",H20/(C49+C50))</f>
        <v>0.012974438083375322</v>
      </c>
    </row>
    <row r="83" spans="1:8" ht="18" customHeight="1" thickBot="1">
      <c r="A83" s="67" t="s">
        <v>452</v>
      </c>
      <c r="B83" s="48"/>
      <c r="C83" s="68">
        <f>IF(G34="    --","    --",G34/100)</f>
        <v>0.9582387851236246</v>
      </c>
      <c r="E83" s="67" t="s">
        <v>368</v>
      </c>
      <c r="F83" s="48"/>
      <c r="G83" s="48"/>
      <c r="H83" s="68">
        <f>IF((C42+C43)=0,"    --",I34/(C42+C43))</f>
        <v>0.03867717875980794</v>
      </c>
    </row>
    <row r="84" spans="1:8" ht="18" customHeight="1">
      <c r="A84" s="31"/>
      <c r="B84" s="61"/>
      <c r="C84" s="63"/>
      <c r="E84" s="31"/>
      <c r="F84" s="61"/>
      <c r="G84" s="61"/>
      <c r="H84" s="63"/>
    </row>
    <row r="85" spans="1:5" ht="18" customHeight="1">
      <c r="A85" s="60" t="s">
        <v>459</v>
      </c>
      <c r="E85" s="32"/>
    </row>
    <row r="86" spans="1:3" ht="18" customHeight="1">
      <c r="A86" s="31" t="s">
        <v>460</v>
      </c>
      <c r="C86" s="31" t="s">
        <v>461</v>
      </c>
    </row>
    <row r="87" s="32" customFormat="1" ht="21" customHeight="1">
      <c r="A87" s="97"/>
    </row>
    <row r="88" spans="1:11" s="32" customFormat="1" ht="21" customHeight="1" hidden="1">
      <c r="A88" s="97"/>
      <c r="B88" s="233" t="s">
        <v>402</v>
      </c>
      <c r="C88" s="236" t="s">
        <v>385</v>
      </c>
      <c r="D88" s="236" t="s">
        <v>386</v>
      </c>
      <c r="E88" s="247" t="s">
        <v>387</v>
      </c>
      <c r="F88" s="236" t="s">
        <v>388</v>
      </c>
      <c r="G88" s="244" t="s">
        <v>389</v>
      </c>
      <c r="H88" s="3"/>
      <c r="I88" s="3"/>
      <c r="J88" s="3"/>
      <c r="K88" s="3"/>
    </row>
    <row r="89" spans="1:11" s="32" customFormat="1" ht="21" customHeight="1" hidden="1">
      <c r="A89" s="97"/>
      <c r="B89" s="234"/>
      <c r="C89" s="246"/>
      <c r="D89" s="246"/>
      <c r="E89" s="248"/>
      <c r="F89" s="246"/>
      <c r="G89" s="245"/>
      <c r="H89" s="3"/>
      <c r="I89" s="3"/>
      <c r="J89" s="3"/>
      <c r="K89" s="3"/>
    </row>
    <row r="90" spans="1:11" s="32" customFormat="1" ht="21" customHeight="1" hidden="1">
      <c r="A90" s="97"/>
      <c r="B90" s="235"/>
      <c r="C90" s="155" t="s">
        <v>288</v>
      </c>
      <c r="D90" s="155" t="s">
        <v>284</v>
      </c>
      <c r="E90" s="155" t="s">
        <v>285</v>
      </c>
      <c r="F90" s="155" t="s">
        <v>286</v>
      </c>
      <c r="G90" s="155" t="s">
        <v>287</v>
      </c>
      <c r="H90" s="3"/>
      <c r="I90" s="3"/>
      <c r="J90" s="3"/>
      <c r="K90" s="3"/>
    </row>
    <row r="91" spans="1:11" s="32" customFormat="1" ht="21" customHeight="1" hidden="1">
      <c r="A91" s="97"/>
      <c r="B91" s="158" t="s">
        <v>292</v>
      </c>
      <c r="C91" s="116">
        <v>0</v>
      </c>
      <c r="D91" s="116">
        <v>0</v>
      </c>
      <c r="E91" s="116">
        <v>0</v>
      </c>
      <c r="F91" s="116">
        <v>0</v>
      </c>
      <c r="G91" s="116">
        <v>0</v>
      </c>
      <c r="H91" s="3"/>
      <c r="I91" s="3"/>
      <c r="J91" s="3"/>
      <c r="K91" s="3"/>
    </row>
    <row r="92" spans="1:11" s="32" customFormat="1" ht="21" customHeight="1" hidden="1">
      <c r="A92" s="97"/>
      <c r="B92" s="160" t="s">
        <v>293</v>
      </c>
      <c r="C92" s="116">
        <v>0</v>
      </c>
      <c r="D92" s="116">
        <v>0</v>
      </c>
      <c r="E92" s="116">
        <v>0</v>
      </c>
      <c r="F92" s="116">
        <v>0</v>
      </c>
      <c r="G92" s="116">
        <v>0</v>
      </c>
      <c r="H92" s="3"/>
      <c r="I92" s="3"/>
      <c r="J92" s="3"/>
      <c r="K92" s="3"/>
    </row>
    <row r="93" spans="1:11" s="32" customFormat="1" ht="21" customHeight="1" hidden="1">
      <c r="A93" s="97"/>
      <c r="B93" s="160" t="s">
        <v>294</v>
      </c>
      <c r="C93" s="116">
        <v>0</v>
      </c>
      <c r="D93" s="116">
        <v>0</v>
      </c>
      <c r="E93" s="116">
        <v>0</v>
      </c>
      <c r="F93" s="116">
        <v>0</v>
      </c>
      <c r="G93" s="116">
        <v>0</v>
      </c>
      <c r="H93" s="3"/>
      <c r="I93" s="3"/>
      <c r="J93" s="3"/>
      <c r="K93" s="3"/>
    </row>
    <row r="94" spans="1:11" s="32" customFormat="1" ht="21" customHeight="1" hidden="1">
      <c r="A94" s="97"/>
      <c r="B94" s="160" t="s">
        <v>295</v>
      </c>
      <c r="C94" s="116">
        <v>0</v>
      </c>
      <c r="D94" s="116">
        <v>0</v>
      </c>
      <c r="E94" s="116">
        <v>0</v>
      </c>
      <c r="F94" s="116">
        <v>0</v>
      </c>
      <c r="G94" s="116">
        <v>0</v>
      </c>
      <c r="H94" s="3"/>
      <c r="I94" s="3"/>
      <c r="J94" s="3"/>
      <c r="K94" s="3"/>
    </row>
    <row r="95" spans="1:11" s="32" customFormat="1" ht="21" customHeight="1" hidden="1">
      <c r="A95" s="97"/>
      <c r="B95" s="160" t="s">
        <v>296</v>
      </c>
      <c r="C95" s="116">
        <v>0</v>
      </c>
      <c r="D95" s="116">
        <v>0</v>
      </c>
      <c r="E95" s="116">
        <v>0</v>
      </c>
      <c r="F95" s="116">
        <v>0</v>
      </c>
      <c r="G95" s="116">
        <v>0</v>
      </c>
      <c r="H95" s="3"/>
      <c r="I95" s="3"/>
      <c r="J95" s="3"/>
      <c r="K95" s="3"/>
    </row>
    <row r="96" spans="1:11" s="32" customFormat="1" ht="21" customHeight="1" hidden="1">
      <c r="A96" s="97"/>
      <c r="B96" s="160" t="s">
        <v>297</v>
      </c>
      <c r="C96" s="116">
        <v>0</v>
      </c>
      <c r="D96" s="116">
        <v>0</v>
      </c>
      <c r="E96" s="116">
        <v>0</v>
      </c>
      <c r="F96" s="116">
        <v>0</v>
      </c>
      <c r="G96" s="116">
        <v>0</v>
      </c>
      <c r="H96" s="3"/>
      <c r="I96" s="3"/>
      <c r="J96" s="3"/>
      <c r="K96" s="3"/>
    </row>
    <row r="97" spans="1:11" s="32" customFormat="1" ht="21" customHeight="1" hidden="1">
      <c r="A97" s="97"/>
      <c r="B97" s="160" t="s">
        <v>298</v>
      </c>
      <c r="C97" s="116">
        <v>0</v>
      </c>
      <c r="D97" s="116">
        <v>0</v>
      </c>
      <c r="E97" s="116">
        <v>0</v>
      </c>
      <c r="F97" s="116">
        <v>0</v>
      </c>
      <c r="G97" s="116">
        <v>0</v>
      </c>
      <c r="H97" s="3"/>
      <c r="I97" s="3"/>
      <c r="J97" s="3"/>
      <c r="K97" s="3"/>
    </row>
    <row r="98" spans="1:11" s="32" customFormat="1" ht="21" customHeight="1" hidden="1">
      <c r="A98" s="97"/>
      <c r="B98" s="160" t="s">
        <v>299</v>
      </c>
      <c r="C98" s="116">
        <v>0</v>
      </c>
      <c r="D98" s="116">
        <v>0</v>
      </c>
      <c r="E98" s="116">
        <v>0</v>
      </c>
      <c r="F98" s="116">
        <v>0</v>
      </c>
      <c r="G98" s="116">
        <v>0</v>
      </c>
      <c r="H98" s="3"/>
      <c r="I98" s="3"/>
      <c r="J98" s="3"/>
      <c r="K98" s="3"/>
    </row>
    <row r="99" spans="1:11" s="32" customFormat="1" ht="21" customHeight="1" hidden="1" thickBot="1">
      <c r="A99" s="97"/>
      <c r="B99" s="161" t="s">
        <v>390</v>
      </c>
      <c r="C99" s="116">
        <v>0</v>
      </c>
      <c r="D99" s="116">
        <v>0</v>
      </c>
      <c r="E99" s="116">
        <v>0</v>
      </c>
      <c r="F99" s="116">
        <v>0</v>
      </c>
      <c r="G99" s="116">
        <v>0</v>
      </c>
      <c r="H99" s="3"/>
      <c r="I99" s="3"/>
      <c r="J99" s="3"/>
      <c r="K99" s="3"/>
    </row>
    <row r="100" spans="1:11" s="32" customFormat="1" ht="21" customHeight="1" hidden="1">
      <c r="A100" s="97"/>
      <c r="B100" s="3"/>
      <c r="C100" s="3"/>
      <c r="D100" s="3"/>
      <c r="E100" s="3"/>
      <c r="F100" s="3"/>
      <c r="G100" s="3"/>
      <c r="H100" s="3"/>
      <c r="I100" s="3"/>
      <c r="J100" s="3"/>
      <c r="K100" s="3"/>
    </row>
    <row r="101" spans="1:11" s="32" customFormat="1" ht="21" customHeight="1" hidden="1" thickBot="1">
      <c r="A101" s="97"/>
      <c r="B101" s="3"/>
      <c r="C101" s="3"/>
      <c r="D101" s="3"/>
      <c r="E101" s="3"/>
      <c r="F101" s="3"/>
      <c r="G101" s="3"/>
      <c r="H101" s="3"/>
      <c r="I101" s="3"/>
      <c r="J101" s="3"/>
      <c r="K101" s="3"/>
    </row>
    <row r="102" spans="1:11" s="32" customFormat="1" ht="21" customHeight="1" hidden="1">
      <c r="A102" s="97"/>
      <c r="B102" s="233" t="s">
        <v>403</v>
      </c>
      <c r="C102" s="236" t="s">
        <v>391</v>
      </c>
      <c r="D102" s="236" t="s">
        <v>392</v>
      </c>
      <c r="E102" s="247" t="s">
        <v>393</v>
      </c>
      <c r="F102" s="247" t="s">
        <v>394</v>
      </c>
      <c r="G102" s="236" t="s">
        <v>395</v>
      </c>
      <c r="H102" s="236" t="s">
        <v>396</v>
      </c>
      <c r="I102" s="236" t="s">
        <v>397</v>
      </c>
      <c r="J102" s="236" t="s">
        <v>398</v>
      </c>
      <c r="K102" s="244" t="s">
        <v>399</v>
      </c>
    </row>
    <row r="103" spans="1:11" s="32" customFormat="1" ht="21" customHeight="1" hidden="1">
      <c r="A103" s="97"/>
      <c r="B103" s="234"/>
      <c r="C103" s="246"/>
      <c r="D103" s="246"/>
      <c r="E103" s="248"/>
      <c r="F103" s="248"/>
      <c r="G103" s="246"/>
      <c r="H103" s="246"/>
      <c r="I103" s="246"/>
      <c r="J103" s="246"/>
      <c r="K103" s="245"/>
    </row>
    <row r="104" spans="1:11" s="32" customFormat="1" ht="21" customHeight="1" hidden="1">
      <c r="A104" s="97"/>
      <c r="B104" s="235"/>
      <c r="C104" s="155" t="s">
        <v>288</v>
      </c>
      <c r="D104" s="155" t="s">
        <v>284</v>
      </c>
      <c r="E104" s="155" t="s">
        <v>285</v>
      </c>
      <c r="F104" s="155" t="s">
        <v>286</v>
      </c>
      <c r="G104" s="155" t="s">
        <v>287</v>
      </c>
      <c r="H104" s="155" t="s">
        <v>289</v>
      </c>
      <c r="I104" s="155" t="s">
        <v>290</v>
      </c>
      <c r="J104" s="155" t="s">
        <v>291</v>
      </c>
      <c r="K104" s="155" t="s">
        <v>400</v>
      </c>
    </row>
    <row r="105" spans="1:11" s="32" customFormat="1" ht="21" customHeight="1" hidden="1">
      <c r="A105" s="97"/>
      <c r="B105" s="158" t="s">
        <v>306</v>
      </c>
      <c r="C105" s="116">
        <v>0</v>
      </c>
      <c r="D105" s="116">
        <v>0</v>
      </c>
      <c r="E105" s="116">
        <v>0</v>
      </c>
      <c r="F105" s="116">
        <v>0</v>
      </c>
      <c r="G105" s="116">
        <v>0</v>
      </c>
      <c r="H105" s="116">
        <v>0</v>
      </c>
      <c r="I105" s="116">
        <v>0</v>
      </c>
      <c r="J105" s="116">
        <v>0</v>
      </c>
      <c r="K105" s="116">
        <v>0</v>
      </c>
    </row>
    <row r="106" spans="1:11" s="32" customFormat="1" ht="21" customHeight="1" hidden="1">
      <c r="A106" s="97"/>
      <c r="B106" s="160" t="s">
        <v>307</v>
      </c>
      <c r="C106" s="116">
        <v>0</v>
      </c>
      <c r="D106" s="116">
        <v>0</v>
      </c>
      <c r="E106" s="116">
        <v>0</v>
      </c>
      <c r="F106" s="116">
        <v>0</v>
      </c>
      <c r="G106" s="116">
        <v>0</v>
      </c>
      <c r="H106" s="116">
        <v>0</v>
      </c>
      <c r="I106" s="116">
        <v>0</v>
      </c>
      <c r="J106" s="116">
        <v>0</v>
      </c>
      <c r="K106" s="116">
        <v>0</v>
      </c>
    </row>
    <row r="107" spans="1:11" s="32" customFormat="1" ht="21" customHeight="1" hidden="1">
      <c r="A107" s="97"/>
      <c r="B107" s="160" t="s">
        <v>308</v>
      </c>
      <c r="C107" s="116">
        <v>0</v>
      </c>
      <c r="D107" s="116">
        <v>0</v>
      </c>
      <c r="E107" s="116">
        <v>0</v>
      </c>
      <c r="F107" s="116">
        <v>0</v>
      </c>
      <c r="G107" s="116">
        <v>0</v>
      </c>
      <c r="H107" s="116">
        <v>0</v>
      </c>
      <c r="I107" s="116">
        <v>0</v>
      </c>
      <c r="J107" s="116">
        <v>0</v>
      </c>
      <c r="K107" s="116">
        <v>0</v>
      </c>
    </row>
    <row r="108" spans="1:11" s="32" customFormat="1" ht="21" customHeight="1" hidden="1">
      <c r="A108" s="97"/>
      <c r="B108" s="160" t="s">
        <v>295</v>
      </c>
      <c r="C108" s="116">
        <v>0</v>
      </c>
      <c r="D108" s="116">
        <v>0</v>
      </c>
      <c r="E108" s="116">
        <v>0</v>
      </c>
      <c r="F108" s="116">
        <v>0</v>
      </c>
      <c r="G108" s="116">
        <v>0</v>
      </c>
      <c r="H108" s="116">
        <v>0</v>
      </c>
      <c r="I108" s="116">
        <v>0</v>
      </c>
      <c r="J108" s="116">
        <v>0</v>
      </c>
      <c r="K108" s="116">
        <v>0</v>
      </c>
    </row>
    <row r="109" spans="1:11" s="32" customFormat="1" ht="21" customHeight="1" hidden="1">
      <c r="A109" s="97"/>
      <c r="B109" s="160" t="s">
        <v>309</v>
      </c>
      <c r="C109" s="116">
        <v>0</v>
      </c>
      <c r="D109" s="116">
        <v>0</v>
      </c>
      <c r="E109" s="116">
        <v>0</v>
      </c>
      <c r="F109" s="116">
        <v>0</v>
      </c>
      <c r="G109" s="116">
        <v>0</v>
      </c>
      <c r="H109" s="116">
        <v>0</v>
      </c>
      <c r="I109" s="116">
        <v>0</v>
      </c>
      <c r="J109" s="116">
        <v>0</v>
      </c>
      <c r="K109" s="116">
        <v>0</v>
      </c>
    </row>
    <row r="110" spans="1:11" s="32" customFormat="1" ht="21" customHeight="1" hidden="1">
      <c r="A110" s="97"/>
      <c r="B110" s="160" t="s">
        <v>310</v>
      </c>
      <c r="C110" s="116">
        <v>0</v>
      </c>
      <c r="D110" s="116">
        <v>0</v>
      </c>
      <c r="E110" s="116">
        <v>0</v>
      </c>
      <c r="F110" s="116">
        <v>0</v>
      </c>
      <c r="G110" s="116">
        <v>0</v>
      </c>
      <c r="H110" s="116">
        <v>0</v>
      </c>
      <c r="I110" s="116">
        <v>0</v>
      </c>
      <c r="J110" s="116">
        <v>0</v>
      </c>
      <c r="K110" s="116">
        <v>0</v>
      </c>
    </row>
    <row r="111" spans="1:11" s="32" customFormat="1" ht="21" customHeight="1" hidden="1">
      <c r="A111" s="97"/>
      <c r="B111" s="160" t="s">
        <v>297</v>
      </c>
      <c r="C111" s="116">
        <v>0</v>
      </c>
      <c r="D111" s="116">
        <v>0</v>
      </c>
      <c r="E111" s="116">
        <v>0</v>
      </c>
      <c r="F111" s="116">
        <v>0</v>
      </c>
      <c r="G111" s="116">
        <v>0</v>
      </c>
      <c r="H111" s="116">
        <v>0</v>
      </c>
      <c r="I111" s="116">
        <v>0</v>
      </c>
      <c r="J111" s="116">
        <v>0</v>
      </c>
      <c r="K111" s="116">
        <v>0</v>
      </c>
    </row>
    <row r="112" spans="1:11" s="32" customFormat="1" ht="21" customHeight="1" hidden="1">
      <c r="A112" s="97"/>
      <c r="B112" s="160" t="s">
        <v>298</v>
      </c>
      <c r="C112" s="116">
        <v>0</v>
      </c>
      <c r="D112" s="116">
        <v>0</v>
      </c>
      <c r="E112" s="116">
        <v>0</v>
      </c>
      <c r="F112" s="116">
        <v>0</v>
      </c>
      <c r="G112" s="116">
        <v>0</v>
      </c>
      <c r="H112" s="116">
        <v>0</v>
      </c>
      <c r="I112" s="116">
        <v>0</v>
      </c>
      <c r="J112" s="116">
        <v>0</v>
      </c>
      <c r="K112" s="116">
        <v>0</v>
      </c>
    </row>
    <row r="113" spans="1:11" s="32" customFormat="1" ht="21" customHeight="1" hidden="1">
      <c r="A113" s="97"/>
      <c r="B113" s="164" t="s">
        <v>299</v>
      </c>
      <c r="C113" s="116">
        <v>0</v>
      </c>
      <c r="D113" s="116">
        <v>0</v>
      </c>
      <c r="E113" s="116">
        <v>0</v>
      </c>
      <c r="F113" s="116">
        <v>0</v>
      </c>
      <c r="G113" s="116">
        <v>0</v>
      </c>
      <c r="H113" s="116">
        <v>0</v>
      </c>
      <c r="I113" s="116">
        <v>0</v>
      </c>
      <c r="J113" s="116">
        <v>0</v>
      </c>
      <c r="K113" s="116">
        <v>0</v>
      </c>
    </row>
    <row r="114" spans="1:11" s="32" customFormat="1" ht="21" customHeight="1" hidden="1" thickBot="1">
      <c r="A114" s="97"/>
      <c r="B114" s="161" t="s">
        <v>401</v>
      </c>
      <c r="C114" s="162">
        <f aca="true" t="shared" si="12" ref="C114:K114">SUM(C105:C113)</f>
        <v>0</v>
      </c>
      <c r="D114" s="162">
        <f t="shared" si="12"/>
        <v>0</v>
      </c>
      <c r="E114" s="162">
        <f t="shared" si="12"/>
        <v>0</v>
      </c>
      <c r="F114" s="162">
        <f t="shared" si="12"/>
        <v>0</v>
      </c>
      <c r="G114" s="162">
        <f t="shared" si="12"/>
        <v>0</v>
      </c>
      <c r="H114" s="162">
        <f t="shared" si="12"/>
        <v>0</v>
      </c>
      <c r="I114" s="162">
        <f t="shared" si="12"/>
        <v>0</v>
      </c>
      <c r="J114" s="162">
        <f t="shared" si="12"/>
        <v>0</v>
      </c>
      <c r="K114" s="162">
        <f t="shared" si="12"/>
        <v>0</v>
      </c>
    </row>
    <row r="115" s="32" customFormat="1" ht="21" customHeight="1" hidden="1">
      <c r="A115" s="97"/>
    </row>
    <row r="116" s="32" customFormat="1" ht="21" customHeight="1" hidden="1" thickBot="1">
      <c r="A116" s="97"/>
    </row>
    <row r="117" spans="1:6" s="32" customFormat="1" ht="33" customHeight="1" hidden="1">
      <c r="A117" s="97"/>
      <c r="B117" s="178" t="s">
        <v>404</v>
      </c>
      <c r="C117" s="179" t="s">
        <v>369</v>
      </c>
      <c r="E117" s="178" t="s">
        <v>405</v>
      </c>
      <c r="F117" s="179" t="s">
        <v>369</v>
      </c>
    </row>
    <row r="118" spans="1:11" s="32" customFormat="1" ht="12.95" customHeight="1" hidden="1">
      <c r="A118" s="97"/>
      <c r="B118" s="180" t="s">
        <v>370</v>
      </c>
      <c r="C118" s="191">
        <v>0</v>
      </c>
      <c r="D118" s="41"/>
      <c r="E118" s="184" t="s">
        <v>383</v>
      </c>
      <c r="F118" s="191">
        <v>0</v>
      </c>
      <c r="G118" s="41"/>
      <c r="H118" s="41"/>
      <c r="I118" s="41"/>
      <c r="J118" s="41"/>
      <c r="K118" s="41"/>
    </row>
    <row r="119" spans="2:6" ht="15.75" hidden="1">
      <c r="B119" s="181" t="s">
        <v>371</v>
      </c>
      <c r="C119" s="191">
        <v>0</v>
      </c>
      <c r="E119" s="185" t="s">
        <v>335</v>
      </c>
      <c r="F119" s="191">
        <v>0</v>
      </c>
    </row>
    <row r="120" spans="2:6" ht="15.75" hidden="1">
      <c r="B120" s="181" t="s">
        <v>372</v>
      </c>
      <c r="C120" s="191">
        <v>0</v>
      </c>
      <c r="E120" s="185" t="s">
        <v>337</v>
      </c>
      <c r="F120" s="191">
        <v>0</v>
      </c>
    </row>
    <row r="121" spans="2:6" ht="15.75" hidden="1">
      <c r="B121" s="181" t="s">
        <v>373</v>
      </c>
      <c r="C121" s="191">
        <v>0</v>
      </c>
      <c r="E121" s="185" t="s">
        <v>340</v>
      </c>
      <c r="F121" s="191">
        <v>0</v>
      </c>
    </row>
    <row r="122" spans="2:6" ht="15.75" hidden="1">
      <c r="B122" s="181" t="s">
        <v>374</v>
      </c>
      <c r="C122" s="191">
        <v>0</v>
      </c>
      <c r="E122" s="181" t="s">
        <v>342</v>
      </c>
      <c r="F122" s="191">
        <v>0</v>
      </c>
    </row>
    <row r="123" spans="2:6" ht="15.75" hidden="1">
      <c r="B123" s="181" t="s">
        <v>375</v>
      </c>
      <c r="C123" s="191">
        <v>0</v>
      </c>
      <c r="E123" s="186" t="s">
        <v>345</v>
      </c>
      <c r="F123" s="191">
        <v>0</v>
      </c>
    </row>
    <row r="124" spans="2:6" ht="15.75" hidden="1">
      <c r="B124" s="181" t="s">
        <v>376</v>
      </c>
      <c r="C124" s="191">
        <v>0</v>
      </c>
      <c r="E124" s="185" t="s">
        <v>335</v>
      </c>
      <c r="F124" s="191">
        <v>0</v>
      </c>
    </row>
    <row r="125" spans="2:6" ht="15.75" hidden="1">
      <c r="B125" s="180" t="s">
        <v>377</v>
      </c>
      <c r="C125" s="191">
        <v>0</v>
      </c>
      <c r="E125" s="185" t="s">
        <v>337</v>
      </c>
      <c r="F125" s="191">
        <v>0</v>
      </c>
    </row>
    <row r="126" spans="1:11" s="32" customFormat="1" ht="18" customHeight="1" hidden="1">
      <c r="A126" s="3"/>
      <c r="B126" s="181" t="s">
        <v>371</v>
      </c>
      <c r="C126" s="191">
        <v>0</v>
      </c>
      <c r="D126" s="101"/>
      <c r="E126" s="185" t="s">
        <v>340</v>
      </c>
      <c r="F126" s="191">
        <v>0</v>
      </c>
      <c r="G126" s="101"/>
      <c r="H126" s="101"/>
      <c r="I126" s="101"/>
      <c r="J126" s="101"/>
      <c r="K126" s="101"/>
    </row>
    <row r="127" spans="2:6" ht="15.75" hidden="1">
      <c r="B127" s="181" t="s">
        <v>372</v>
      </c>
      <c r="C127" s="191">
        <v>0</v>
      </c>
      <c r="E127" s="181" t="s">
        <v>342</v>
      </c>
      <c r="F127" s="191">
        <v>0</v>
      </c>
    </row>
    <row r="128" spans="2:6" ht="15.75" hidden="1">
      <c r="B128" s="181" t="s">
        <v>373</v>
      </c>
      <c r="C128" s="191">
        <v>0</v>
      </c>
      <c r="E128" s="187" t="s">
        <v>384</v>
      </c>
      <c r="F128" s="191">
        <v>0</v>
      </c>
    </row>
    <row r="129" spans="2:6" ht="15.75" hidden="1">
      <c r="B129" s="181" t="s">
        <v>374</v>
      </c>
      <c r="C129" s="191">
        <v>0</v>
      </c>
      <c r="E129" s="187" t="s">
        <v>356</v>
      </c>
      <c r="F129" s="191">
        <v>0</v>
      </c>
    </row>
    <row r="130" spans="1:42" ht="12.95" customHeight="1" hidden="1" thickBot="1">
      <c r="A130" s="82"/>
      <c r="B130" s="181" t="s">
        <v>378</v>
      </c>
      <c r="C130" s="191">
        <v>0</v>
      </c>
      <c r="D130" s="42"/>
      <c r="E130" s="188" t="s">
        <v>360</v>
      </c>
      <c r="F130" s="191">
        <v>0</v>
      </c>
      <c r="G130" s="42"/>
      <c r="H130" s="42"/>
      <c r="I130" s="42"/>
      <c r="J130" s="42"/>
      <c r="K130" s="42"/>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row>
    <row r="131" spans="2:11" ht="18" customHeight="1" hidden="1">
      <c r="B131" s="180" t="s">
        <v>379</v>
      </c>
      <c r="C131" s="191">
        <v>0</v>
      </c>
      <c r="D131" s="42"/>
      <c r="G131" s="42"/>
      <c r="H131" s="42"/>
      <c r="I131" s="42"/>
      <c r="J131" s="42"/>
      <c r="K131" s="42"/>
    </row>
    <row r="132" spans="1:11" ht="18" customHeight="1" hidden="1">
      <c r="A132" s="1"/>
      <c r="B132" s="182" t="s">
        <v>380</v>
      </c>
      <c r="C132" s="191">
        <v>0</v>
      </c>
      <c r="D132" s="42"/>
      <c r="G132" s="42"/>
      <c r="H132" s="42"/>
      <c r="I132" s="42"/>
      <c r="J132" s="42"/>
      <c r="K132" s="42"/>
    </row>
    <row r="133" spans="2:11" ht="18" customHeight="1" hidden="1">
      <c r="B133" s="182" t="s">
        <v>381</v>
      </c>
      <c r="C133" s="191">
        <v>0</v>
      </c>
      <c r="D133" s="42"/>
      <c r="G133" s="42"/>
      <c r="H133" s="42"/>
      <c r="I133" s="42"/>
      <c r="J133" s="42"/>
      <c r="K133" s="42"/>
    </row>
    <row r="134" spans="1:11" ht="16.5" hidden="1" thickBot="1">
      <c r="A134" s="31"/>
      <c r="B134" s="183" t="s">
        <v>382</v>
      </c>
      <c r="C134" s="191">
        <v>0</v>
      </c>
      <c r="D134" s="42"/>
      <c r="G134" s="42"/>
      <c r="H134" s="42"/>
      <c r="I134" s="42"/>
      <c r="J134" s="42"/>
      <c r="K134" s="42"/>
    </row>
    <row r="135" spans="1:11" ht="15.75" hidden="1">
      <c r="A135" s="31"/>
      <c r="D135" s="42"/>
      <c r="E135" s="42"/>
      <c r="F135" s="42"/>
      <c r="G135" s="42"/>
      <c r="H135" s="42"/>
      <c r="I135" s="42"/>
      <c r="J135" s="42"/>
      <c r="K135" s="42"/>
    </row>
    <row r="136" spans="5:11" ht="16.5" hidden="1" thickBot="1">
      <c r="E136" s="42"/>
      <c r="F136" s="42"/>
      <c r="G136" s="42"/>
      <c r="H136" s="42"/>
      <c r="I136" s="42"/>
      <c r="J136" s="42"/>
      <c r="K136" s="42"/>
    </row>
    <row r="137" spans="2:11" ht="15.75" hidden="1">
      <c r="B137" s="233" t="s">
        <v>406</v>
      </c>
      <c r="C137" s="236" t="s">
        <v>385</v>
      </c>
      <c r="D137" s="236" t="s">
        <v>386</v>
      </c>
      <c r="E137" s="247" t="s">
        <v>387</v>
      </c>
      <c r="F137" s="236" t="s">
        <v>388</v>
      </c>
      <c r="G137" s="244" t="s">
        <v>389</v>
      </c>
      <c r="I137" s="42"/>
      <c r="J137" s="42"/>
      <c r="K137" s="42"/>
    </row>
    <row r="138" spans="2:11" ht="15.75" hidden="1">
      <c r="B138" s="234"/>
      <c r="C138" s="246"/>
      <c r="D138" s="246"/>
      <c r="E138" s="248"/>
      <c r="F138" s="246"/>
      <c r="G138" s="245"/>
      <c r="I138" s="42"/>
      <c r="J138" s="42"/>
      <c r="K138" s="42"/>
    </row>
    <row r="139" spans="2:11" ht="15.75" hidden="1">
      <c r="B139" s="235"/>
      <c r="C139" s="155" t="s">
        <v>288</v>
      </c>
      <c r="D139" s="155" t="s">
        <v>284</v>
      </c>
      <c r="E139" s="155" t="s">
        <v>285</v>
      </c>
      <c r="F139" s="155" t="s">
        <v>286</v>
      </c>
      <c r="G139" s="155" t="s">
        <v>287</v>
      </c>
      <c r="I139" s="42"/>
      <c r="J139" s="42"/>
      <c r="K139" s="42"/>
    </row>
    <row r="140" spans="2:11" ht="15.75" hidden="1">
      <c r="B140" s="158" t="s">
        <v>292</v>
      </c>
      <c r="C140" s="159">
        <f>'[1]7100'!D5+'[2]7100'!D5+'[3]7100'!D5+'[4]7100'!D5+'[5]7100'!D5</f>
        <v>13628439.120000022</v>
      </c>
      <c r="D140" s="159">
        <f>'[1]7100'!E5+'[2]7100'!E5+'[3]7100'!E5+'[4]7100'!E5+'[5]7100'!E5</f>
        <v>-14464.06</v>
      </c>
      <c r="E140" s="159">
        <f>'[1]7100'!F5+'[2]7100'!F5+'[3]7100'!F5+'[4]7100'!F5+'[5]7100'!F5</f>
        <v>13613975.060000021</v>
      </c>
      <c r="F140" s="159">
        <f>'[1]7100'!G5+'[2]7100'!G5+'[3]7100'!G5+'[4]7100'!G5+'[5]7100'!G5</f>
        <v>13612719.710000016</v>
      </c>
      <c r="G140" s="159">
        <f>'[1]7100'!H5+'[2]7100'!H5+'[3]7100'!H5+'[4]7100'!H5+'[5]7100'!H5</f>
        <v>1255.3500000064867</v>
      </c>
      <c r="I140" s="42"/>
      <c r="J140" s="42"/>
      <c r="K140" s="42"/>
    </row>
    <row r="141" spans="2:11" ht="15.75" hidden="1">
      <c r="B141" s="160" t="s">
        <v>293</v>
      </c>
      <c r="C141" s="159">
        <f>'[1]7100'!D6+'[2]7100'!D6+'[3]7100'!D6+'[4]7100'!D6+'[5]7100'!D6</f>
        <v>15986532.969999991</v>
      </c>
      <c r="D141" s="159">
        <f>'[1]7100'!E6+'[2]7100'!E6+'[3]7100'!E6+'[4]7100'!E6+'[5]7100'!E6</f>
        <v>-3759.6800000000003</v>
      </c>
      <c r="E141" s="159">
        <f>'[1]7100'!F6+'[2]7100'!F6+'[3]7100'!F6+'[4]7100'!F6+'[5]7100'!F6</f>
        <v>15982773.289999992</v>
      </c>
      <c r="F141" s="159">
        <f>'[1]7100'!G6+'[2]7100'!G6+'[3]7100'!G6+'[4]7100'!G6+'[5]7100'!G6</f>
        <v>15543179.779999994</v>
      </c>
      <c r="G141" s="159">
        <f>'[1]7100'!H6+'[2]7100'!H6+'[3]7100'!H6+'[4]7100'!H6+'[5]7100'!H6</f>
        <v>439593.50999999815</v>
      </c>
      <c r="I141" s="42"/>
      <c r="J141" s="42"/>
      <c r="K141" s="42"/>
    </row>
    <row r="142" spans="2:11" ht="15.75" hidden="1">
      <c r="B142" s="160" t="s">
        <v>294</v>
      </c>
      <c r="C142" s="159">
        <f>'[1]7100'!D7+'[2]7100'!D7+'[3]7100'!D7+'[4]7100'!D7+'[5]7100'!D7</f>
        <v>1620.1899999999441</v>
      </c>
      <c r="D142" s="159">
        <f>'[1]7100'!E7+'[2]7100'!E7+'[3]7100'!E7+'[4]7100'!E7+'[5]7100'!E7</f>
        <v>0</v>
      </c>
      <c r="E142" s="159">
        <f>'[1]7100'!F7+'[2]7100'!F7+'[3]7100'!F7+'[4]7100'!F7+'[5]7100'!F7</f>
        <v>1620.1899999999441</v>
      </c>
      <c r="F142" s="159">
        <f>'[1]7100'!G7+'[2]7100'!G7+'[3]7100'!G7+'[4]7100'!G7+'[5]7100'!G7</f>
        <v>1620.19</v>
      </c>
      <c r="G142" s="159">
        <f>'[1]7100'!H7+'[2]7100'!H7+'[3]7100'!H7+'[4]7100'!H7+'[5]7100'!H7</f>
        <v>-5.5933924159035087E-11</v>
      </c>
      <c r="I142" s="42"/>
      <c r="J142" s="42"/>
      <c r="K142" s="42"/>
    </row>
    <row r="143" spans="2:11" ht="15.75" hidden="1">
      <c r="B143" s="160" t="s">
        <v>295</v>
      </c>
      <c r="C143" s="159">
        <f>'[1]7100'!D8+'[2]7100'!D8+'[3]7100'!D8+'[4]7100'!D8+'[5]7100'!D8</f>
        <v>1958155.99</v>
      </c>
      <c r="D143" s="159">
        <f>'[1]7100'!E8+'[2]7100'!E8+'[3]7100'!E8+'[4]7100'!E8+'[5]7100'!E8</f>
        <v>0</v>
      </c>
      <c r="E143" s="159">
        <f>'[1]7100'!F8+'[2]7100'!F8+'[3]7100'!F8+'[4]7100'!F8+'[5]7100'!F8</f>
        <v>1958155.99</v>
      </c>
      <c r="F143" s="159">
        <f>'[1]7100'!G8+'[2]7100'!G8+'[3]7100'!G8+'[4]7100'!G8+'[5]7100'!G8</f>
        <v>1946767.7799999998</v>
      </c>
      <c r="G143" s="159">
        <f>'[1]7100'!H8+'[2]7100'!H8+'[3]7100'!H8+'[4]7100'!H8+'[5]7100'!H8</f>
        <v>11388.209999999986</v>
      </c>
      <c r="I143" s="42"/>
      <c r="J143" s="42"/>
      <c r="K143" s="42"/>
    </row>
    <row r="144" spans="2:11" ht="15.75" hidden="1">
      <c r="B144" s="160" t="s">
        <v>296</v>
      </c>
      <c r="C144" s="159">
        <f>'[1]7100'!D9+'[2]7100'!D9+'[3]7100'!D9+'[4]7100'!D9+'[5]7100'!D9</f>
        <v>10299664.940000001</v>
      </c>
      <c r="D144" s="159">
        <f>'[1]7100'!E9+'[2]7100'!E9+'[3]7100'!E9+'[4]7100'!E9+'[5]7100'!E9</f>
        <v>-12693.67</v>
      </c>
      <c r="E144" s="159">
        <f>'[1]7100'!F9+'[2]7100'!F9+'[3]7100'!F9+'[4]7100'!F9+'[5]7100'!F9</f>
        <v>10286971.27</v>
      </c>
      <c r="F144" s="159">
        <f>'[1]7100'!G9+'[2]7100'!G9+'[3]7100'!G9+'[4]7100'!G9+'[5]7100'!G9</f>
        <v>10266589.329999998</v>
      </c>
      <c r="G144" s="159">
        <f>'[1]7100'!H9+'[2]7100'!H9+'[3]7100'!H9+'[4]7100'!H9+'[5]7100'!H9</f>
        <v>20381.940000000875</v>
      </c>
      <c r="I144" s="42"/>
      <c r="J144" s="42"/>
      <c r="K144" s="42"/>
    </row>
    <row r="145" spans="2:11" ht="15.75" hidden="1">
      <c r="B145" s="160" t="s">
        <v>297</v>
      </c>
      <c r="C145" s="159">
        <f>'[1]7100'!D10+'[2]7100'!D10+'[3]7100'!D10+'[4]7100'!D10+'[5]7100'!D10</f>
        <v>990373.3300000001</v>
      </c>
      <c r="D145" s="159">
        <f>'[1]7100'!E10+'[2]7100'!E10+'[3]7100'!E10+'[4]7100'!E10+'[5]7100'!E10</f>
        <v>0</v>
      </c>
      <c r="E145" s="159">
        <f>'[1]7100'!F10+'[2]7100'!F10+'[3]7100'!F10+'[4]7100'!F10+'[5]7100'!F10</f>
        <v>990373.3300000001</v>
      </c>
      <c r="F145" s="159">
        <f>'[1]7100'!G10+'[2]7100'!G10+'[3]7100'!G10+'[4]7100'!G10+'[5]7100'!G10</f>
        <v>990373.3300000001</v>
      </c>
      <c r="G145" s="159">
        <f>'[1]7100'!H10+'[2]7100'!H10+'[3]7100'!H10+'[4]7100'!H10+'[5]7100'!H10</f>
        <v>0</v>
      </c>
      <c r="I145" s="42"/>
      <c r="J145" s="42"/>
      <c r="K145" s="42"/>
    </row>
    <row r="146" spans="2:11" ht="15.75" hidden="1">
      <c r="B146" s="160" t="s">
        <v>298</v>
      </c>
      <c r="C146" s="159">
        <f>'[1]7100'!D11+'[2]7100'!D11+'[3]7100'!D11+'[4]7100'!D11+'[5]7100'!D11</f>
        <v>0</v>
      </c>
      <c r="D146" s="159">
        <f>'[1]7100'!E11+'[2]7100'!E11+'[3]7100'!E11+'[4]7100'!E11+'[5]7100'!E11</f>
        <v>0</v>
      </c>
      <c r="E146" s="159">
        <f>'[1]7100'!F11+'[2]7100'!F11+'[3]7100'!F11+'[4]7100'!F11+'[5]7100'!F11</f>
        <v>0</v>
      </c>
      <c r="F146" s="159">
        <f>'[1]7100'!G11+'[2]7100'!G11+'[3]7100'!G11+'[4]7100'!G11+'[5]7100'!G11</f>
        <v>0</v>
      </c>
      <c r="G146" s="159">
        <f>'[1]7100'!H11+'[2]7100'!H11+'[3]7100'!H11+'[4]7100'!H11+'[5]7100'!H11</f>
        <v>0</v>
      </c>
      <c r="I146" s="42"/>
      <c r="J146" s="42"/>
      <c r="K146" s="42"/>
    </row>
    <row r="147" spans="2:11" ht="15.75" hidden="1">
      <c r="B147" s="160" t="s">
        <v>299</v>
      </c>
      <c r="C147" s="159">
        <f>'[1]7100'!D12+'[2]7100'!D12+'[3]7100'!D12+'[4]7100'!D12+'[5]7100'!D12</f>
        <v>415880.6299999999</v>
      </c>
      <c r="D147" s="159">
        <f>'[1]7100'!E12+'[2]7100'!E12+'[3]7100'!E12+'[4]7100'!E12+'[5]7100'!E12</f>
        <v>0</v>
      </c>
      <c r="E147" s="159">
        <f>'[1]7100'!F12+'[2]7100'!F12+'[3]7100'!F12+'[4]7100'!F12+'[5]7100'!F12</f>
        <v>415880.6299999999</v>
      </c>
      <c r="F147" s="159">
        <f>'[1]7100'!G12+'[2]7100'!G12+'[3]7100'!G12+'[4]7100'!G12+'[5]7100'!G12</f>
        <v>415880.63</v>
      </c>
      <c r="G147" s="159">
        <f>'[1]7100'!H12+'[2]7100'!H12+'[3]7100'!H12+'[4]7100'!H12+'[5]7100'!H12</f>
        <v>0</v>
      </c>
      <c r="I147" s="42"/>
      <c r="J147" s="42"/>
      <c r="K147" s="42"/>
    </row>
    <row r="148" spans="2:11" ht="16.5" hidden="1" thickBot="1">
      <c r="B148" s="161" t="s">
        <v>390</v>
      </c>
      <c r="C148" s="162">
        <f>SUM(C140:C147)</f>
        <v>43280667.17000001</v>
      </c>
      <c r="D148" s="162">
        <f>SUM(D140:D147)</f>
        <v>-30917.409999999996</v>
      </c>
      <c r="E148" s="162">
        <f>SUM(E140:E147)</f>
        <v>43249749.76000001</v>
      </c>
      <c r="F148" s="162">
        <f>SUM(F140:F147)</f>
        <v>42777130.75000001</v>
      </c>
      <c r="G148" s="163">
        <f>SUM(G140:G147)</f>
        <v>472619.0100000054</v>
      </c>
      <c r="I148" s="42"/>
      <c r="J148" s="42"/>
      <c r="K148" s="42"/>
    </row>
    <row r="149" spans="10:11" ht="15.75" hidden="1">
      <c r="J149" s="42"/>
      <c r="K149" s="42"/>
    </row>
    <row r="150" spans="10:11" ht="16.5" hidden="1" thickBot="1">
      <c r="J150" s="42"/>
      <c r="K150" s="42"/>
    </row>
    <row r="151" spans="2:11" ht="12.75" hidden="1">
      <c r="B151" s="233" t="s">
        <v>407</v>
      </c>
      <c r="C151" s="236" t="s">
        <v>391</v>
      </c>
      <c r="D151" s="236" t="s">
        <v>392</v>
      </c>
      <c r="E151" s="247" t="s">
        <v>393</v>
      </c>
      <c r="F151" s="247" t="s">
        <v>394</v>
      </c>
      <c r="G151" s="236" t="s">
        <v>395</v>
      </c>
      <c r="H151" s="236" t="s">
        <v>396</v>
      </c>
      <c r="I151" s="236" t="s">
        <v>397</v>
      </c>
      <c r="J151" s="236" t="s">
        <v>398</v>
      </c>
      <c r="K151" s="244" t="s">
        <v>399</v>
      </c>
    </row>
    <row r="152" spans="2:11" ht="12.75" hidden="1">
      <c r="B152" s="234"/>
      <c r="C152" s="246"/>
      <c r="D152" s="246"/>
      <c r="E152" s="248"/>
      <c r="F152" s="248"/>
      <c r="G152" s="246"/>
      <c r="H152" s="246"/>
      <c r="I152" s="246"/>
      <c r="J152" s="246"/>
      <c r="K152" s="245"/>
    </row>
    <row r="153" spans="2:11" ht="12.75" hidden="1">
      <c r="B153" s="235"/>
      <c r="C153" s="155" t="s">
        <v>288</v>
      </c>
      <c r="D153" s="155" t="s">
        <v>284</v>
      </c>
      <c r="E153" s="155" t="s">
        <v>285</v>
      </c>
      <c r="F153" s="155" t="s">
        <v>286</v>
      </c>
      <c r="G153" s="155" t="s">
        <v>287</v>
      </c>
      <c r="H153" s="155" t="s">
        <v>289</v>
      </c>
      <c r="I153" s="155" t="s">
        <v>290</v>
      </c>
      <c r="J153" s="155" t="s">
        <v>291</v>
      </c>
      <c r="K153" s="155" t="s">
        <v>400</v>
      </c>
    </row>
    <row r="154" spans="2:16" ht="12.75" hidden="1">
      <c r="B154" s="158" t="s">
        <v>306</v>
      </c>
      <c r="C154" s="159">
        <f>'[1]7100'!D19+'[2]7100'!D19+'[3]7100'!D19+'[4]7100'!D19+'[5]7100'!D19</f>
        <v>0</v>
      </c>
      <c r="D154" s="159">
        <f>'[1]7100'!E19+'[2]7100'!E19+'[3]7100'!E19+'[4]7100'!E19+'[5]7100'!E19</f>
        <v>0</v>
      </c>
      <c r="E154" s="159">
        <f>'[1]7100'!F19+'[2]7100'!F19+'[3]7100'!F19+'[4]7100'!F19+'[5]7100'!F19</f>
        <v>0</v>
      </c>
      <c r="F154" s="159">
        <f>'[1]7100'!G19+'[2]7100'!G19+'[3]7100'!G19+'[4]7100'!G19+'[5]7100'!G19</f>
        <v>0</v>
      </c>
      <c r="G154" s="159">
        <f>'[1]7100'!H19+'[2]7100'!H19+'[3]7100'!H19+'[4]7100'!H19+'[5]7100'!H19</f>
        <v>0</v>
      </c>
      <c r="H154" s="159">
        <f>'[1]7100'!I19+'[2]7100'!I19+'[3]7100'!I19+'[4]7100'!I19+'[5]7100'!I19</f>
        <v>0</v>
      </c>
      <c r="I154" s="159">
        <f>'[1]7100'!J19+'[2]7100'!J19+'[3]7100'!J19+'[4]7100'!J19+'[5]7100'!J19</f>
        <v>0</v>
      </c>
      <c r="J154" s="159">
        <f>'[1]7100'!K19+'[2]7100'!K19+'[3]7100'!K19+'[4]7100'!K19+'[5]7100'!K19</f>
        <v>0</v>
      </c>
      <c r="K154" s="159">
        <f>'[1]7100'!L19+'[2]7100'!L19+'[3]7100'!L19+'[4]7100'!L19+'[5]7100'!L19</f>
        <v>0</v>
      </c>
      <c r="L154" s="159">
        <f>'[6]7100'!M19+'[7]7100'!M19+'[8]7100'!M19+'[9]7100'!M19+'[10]7100'!M19</f>
        <v>0</v>
      </c>
      <c r="M154" s="159">
        <f>'[6]7100'!N19+'[7]7100'!N19+'[8]7100'!N19+'[9]7100'!N19+'[10]7100'!N19</f>
        <v>0</v>
      </c>
      <c r="N154" s="159">
        <f>'[6]7100'!O19+'[7]7100'!O19+'[8]7100'!O19+'[9]7100'!O19+'[10]7100'!O19</f>
        <v>0</v>
      </c>
      <c r="O154" s="159">
        <f>'[6]7100'!P19+'[7]7100'!P19+'[8]7100'!P19+'[9]7100'!P19+'[10]7100'!P19</f>
        <v>0</v>
      </c>
      <c r="P154" s="159">
        <f>'[6]7100'!Q19+'[7]7100'!Q19+'[8]7100'!Q19+'[9]7100'!Q19+'[10]7100'!Q19</f>
        <v>0</v>
      </c>
    </row>
    <row r="155" spans="2:11" ht="12.75" hidden="1">
      <c r="B155" s="160" t="s">
        <v>307</v>
      </c>
      <c r="C155" s="159">
        <f>'[1]7100'!D20+'[2]7100'!D20+'[3]7100'!D20+'[4]7100'!D20+'[5]7100'!D20</f>
        <v>0</v>
      </c>
      <c r="D155" s="159">
        <f>'[1]7100'!E20+'[2]7100'!E20+'[3]7100'!E20+'[4]7100'!E20+'[5]7100'!E20</f>
        <v>0</v>
      </c>
      <c r="E155" s="159">
        <f>'[1]7100'!F20+'[2]7100'!F20+'[3]7100'!F20+'[4]7100'!F20+'[5]7100'!F20</f>
        <v>0</v>
      </c>
      <c r="F155" s="159">
        <f>'[1]7100'!G20+'[2]7100'!G20+'[3]7100'!G20+'[4]7100'!G20+'[5]7100'!G20</f>
        <v>0</v>
      </c>
      <c r="G155" s="159">
        <f>'[1]7100'!H20+'[2]7100'!H20+'[3]7100'!H20+'[4]7100'!H20+'[5]7100'!H20</f>
        <v>0</v>
      </c>
      <c r="H155" s="159">
        <f>'[1]7100'!I20+'[2]7100'!I20+'[3]7100'!I20+'[4]7100'!I20+'[5]7100'!I20</f>
        <v>0</v>
      </c>
      <c r="I155" s="159">
        <f>'[1]7100'!J20+'[2]7100'!J20+'[3]7100'!J20+'[4]7100'!J20+'[5]7100'!J20</f>
        <v>0</v>
      </c>
      <c r="J155" s="159">
        <f>'[1]7100'!K20+'[2]7100'!K20+'[3]7100'!K20+'[4]7100'!K20+'[5]7100'!K20</f>
        <v>0</v>
      </c>
      <c r="K155" s="159">
        <f>'[1]7100'!L20+'[2]7100'!L20+'[3]7100'!L20+'[4]7100'!L20+'[5]7100'!L20</f>
        <v>0</v>
      </c>
    </row>
    <row r="156" spans="2:11" ht="12.75" hidden="1">
      <c r="B156" s="160" t="s">
        <v>308</v>
      </c>
      <c r="C156" s="159">
        <f>'[1]7100'!D21+'[2]7100'!D21+'[3]7100'!D21+'[4]7100'!D21+'[5]7100'!D21</f>
        <v>38983798.02</v>
      </c>
      <c r="D156" s="159">
        <f>'[1]7100'!E21+'[2]7100'!E21+'[3]7100'!E21+'[4]7100'!E21+'[5]7100'!E21</f>
        <v>-1237665.02</v>
      </c>
      <c r="E156" s="159">
        <f>'[1]7100'!F21+'[2]7100'!F21+'[3]7100'!F21+'[4]7100'!F21+'[5]7100'!F21</f>
        <v>857593.51</v>
      </c>
      <c r="F156" s="159">
        <f>'[1]7100'!G21+'[2]7100'!G21+'[3]7100'!G21+'[4]7100'!G21+'[5]7100'!G21</f>
        <v>0</v>
      </c>
      <c r="G156" s="159">
        <f>'[1]7100'!H21+'[2]7100'!H21+'[3]7100'!H21+'[4]7100'!H21+'[5]7100'!H21</f>
        <v>36888539.489999995</v>
      </c>
      <c r="H156" s="159">
        <f>'[1]7100'!I21+'[2]7100'!I21+'[3]7100'!I21+'[4]7100'!I21+'[5]7100'!I21</f>
        <v>30546383.700000003</v>
      </c>
      <c r="I156" s="159">
        <f>'[1]7100'!J21+'[2]7100'!J21+'[3]7100'!J21+'[4]7100'!J21+'[5]7100'!J21</f>
        <v>0</v>
      </c>
      <c r="J156" s="159">
        <f>'[1]7100'!K21+'[2]7100'!K21+'[3]7100'!K21+'[4]7100'!K21+'[5]7100'!K21</f>
        <v>1294758.91</v>
      </c>
      <c r="K156" s="159">
        <f>'[1]7100'!L21+'[2]7100'!L21+'[3]7100'!L21+'[4]7100'!L21+'[5]7100'!L21</f>
        <v>5047396.879999999</v>
      </c>
    </row>
    <row r="157" spans="2:11" ht="12.75" hidden="1">
      <c r="B157" s="160" t="s">
        <v>295</v>
      </c>
      <c r="C157" s="159">
        <f>'[1]7100'!D22+'[2]7100'!D22+'[3]7100'!D22+'[4]7100'!D22+'[5]7100'!D22</f>
        <v>188727934.16999996</v>
      </c>
      <c r="D157" s="159">
        <f>'[1]7100'!E22+'[2]7100'!E22+'[3]7100'!E22+'[4]7100'!E22+'[5]7100'!E22</f>
        <v>-300</v>
      </c>
      <c r="E157" s="159">
        <f>'[1]7100'!F22+'[2]7100'!F22+'[3]7100'!F22+'[4]7100'!F22+'[5]7100'!F22</f>
        <v>10974.04</v>
      </c>
      <c r="F157" s="159">
        <f>'[1]7100'!G22+'[2]7100'!G22+'[3]7100'!G22+'[4]7100'!G22+'[5]7100'!G22</f>
        <v>0</v>
      </c>
      <c r="G157" s="159">
        <f>'[1]7100'!H22+'[2]7100'!H22+'[3]7100'!H22+'[4]7100'!H22+'[5]7100'!H22</f>
        <v>188716660.12999997</v>
      </c>
      <c r="H157" s="159">
        <f>'[1]7100'!I22+'[2]7100'!I22+'[3]7100'!I22+'[4]7100'!I22+'[5]7100'!I22</f>
        <v>187590857.89999998</v>
      </c>
      <c r="I157" s="159">
        <f>'[1]7100'!J22+'[2]7100'!J22+'[3]7100'!J22+'[4]7100'!J22+'[5]7100'!J22</f>
        <v>0</v>
      </c>
      <c r="J157" s="159">
        <f>'[1]7100'!K22+'[2]7100'!K22+'[3]7100'!K22+'[4]7100'!K22+'[5]7100'!K22</f>
        <v>0</v>
      </c>
      <c r="K157" s="159">
        <f>'[1]7100'!L22+'[2]7100'!L22+'[3]7100'!L22+'[4]7100'!L22+'[5]7100'!L22</f>
        <v>1125802.2299999744</v>
      </c>
    </row>
    <row r="158" spans="2:11" ht="12.75" hidden="1">
      <c r="B158" s="160" t="s">
        <v>309</v>
      </c>
      <c r="C158" s="159">
        <f>'[1]7100'!D23+'[2]7100'!D23+'[3]7100'!D23+'[4]7100'!D23+'[5]7100'!D23</f>
        <v>2348332.84</v>
      </c>
      <c r="D158" s="159">
        <f>'[1]7100'!E23+'[2]7100'!E23+'[3]7100'!E23+'[4]7100'!E23+'[5]7100'!E23</f>
        <v>-8280.26</v>
      </c>
      <c r="E158" s="159">
        <f>'[1]7100'!F23+'[2]7100'!F23+'[3]7100'!F23+'[4]7100'!F23+'[5]7100'!F23</f>
        <v>158757.04</v>
      </c>
      <c r="F158" s="159">
        <f>'[1]7100'!G23+'[2]7100'!G23+'[3]7100'!G23+'[4]7100'!G23+'[5]7100'!G23</f>
        <v>0</v>
      </c>
      <c r="G158" s="159">
        <f>'[1]7100'!H23+'[2]7100'!H23+'[3]7100'!H23+'[4]7100'!H23+'[5]7100'!H23</f>
        <v>2181295.54</v>
      </c>
      <c r="H158" s="159">
        <f>'[1]7100'!I23+'[2]7100'!I23+'[3]7100'!I23+'[4]7100'!I23+'[5]7100'!I23</f>
        <v>878851.0000000001</v>
      </c>
      <c r="I158" s="159">
        <f>'[1]7100'!J23+'[2]7100'!J23+'[3]7100'!J23+'[4]7100'!J23+'[5]7100'!J23</f>
        <v>0</v>
      </c>
      <c r="J158" s="159">
        <f>'[1]7100'!K23+'[2]7100'!K23+'[3]7100'!K23+'[4]7100'!K23+'[5]7100'!K23</f>
        <v>83035.26</v>
      </c>
      <c r="K158" s="159">
        <f>'[1]7100'!L23+'[2]7100'!L23+'[3]7100'!L23+'[4]7100'!L23+'[5]7100'!L23</f>
        <v>1219409.28</v>
      </c>
    </row>
    <row r="159" spans="2:11" ht="12.75" hidden="1">
      <c r="B159" s="160" t="s">
        <v>310</v>
      </c>
      <c r="C159" s="159">
        <f>'[1]7100'!D24+'[2]7100'!D24+'[3]7100'!D24+'[4]7100'!D24+'[5]7100'!D24</f>
        <v>54788.07000000001</v>
      </c>
      <c r="D159" s="159">
        <f>'[1]7100'!E24+'[2]7100'!E24+'[3]7100'!E24+'[4]7100'!E24+'[5]7100'!E24</f>
        <v>0</v>
      </c>
      <c r="E159" s="159">
        <f>'[1]7100'!F24+'[2]7100'!F24+'[3]7100'!F24+'[4]7100'!F24+'[5]7100'!F24</f>
        <v>0</v>
      </c>
      <c r="F159" s="159">
        <f>'[1]7100'!G24+'[2]7100'!G24+'[3]7100'!G24+'[4]7100'!G24+'[5]7100'!G24</f>
        <v>0</v>
      </c>
      <c r="G159" s="159">
        <f>'[1]7100'!H24+'[2]7100'!H24+'[3]7100'!H24+'[4]7100'!H24+'[5]7100'!H24</f>
        <v>54788.07000000001</v>
      </c>
      <c r="H159" s="159">
        <f>'[1]7100'!I24+'[2]7100'!I24+'[3]7100'!I24+'[4]7100'!I24+'[5]7100'!I24</f>
        <v>4196.3</v>
      </c>
      <c r="I159" s="159">
        <f>'[1]7100'!J24+'[2]7100'!J24+'[3]7100'!J24+'[4]7100'!J24+'[5]7100'!J24</f>
        <v>0</v>
      </c>
      <c r="J159" s="159">
        <f>'[1]7100'!K24+'[2]7100'!K24+'[3]7100'!K24+'[4]7100'!K24+'[5]7100'!K24</f>
        <v>0</v>
      </c>
      <c r="K159" s="159">
        <f>'[1]7100'!L24+'[2]7100'!L24+'[3]7100'!L24+'[4]7100'!L24+'[5]7100'!L24</f>
        <v>50591.770000000004</v>
      </c>
    </row>
    <row r="160" spans="2:11" ht="12.75" hidden="1">
      <c r="B160" s="160" t="s">
        <v>297</v>
      </c>
      <c r="C160" s="159">
        <f>'[1]7100'!D25+'[2]7100'!D25+'[3]7100'!D25+'[4]7100'!D25+'[5]7100'!D25</f>
        <v>25098096.45</v>
      </c>
      <c r="D160" s="159">
        <f>'[1]7100'!E25+'[2]7100'!E25+'[3]7100'!E25+'[4]7100'!E25+'[5]7100'!E25</f>
        <v>0</v>
      </c>
      <c r="E160" s="159">
        <f>'[1]7100'!F25+'[2]7100'!F25+'[3]7100'!F25+'[4]7100'!F25+'[5]7100'!F25</f>
        <v>2026214.15</v>
      </c>
      <c r="F160" s="159">
        <f>'[1]7100'!G25+'[2]7100'!G25+'[3]7100'!G25+'[4]7100'!G25+'[5]7100'!G25</f>
        <v>0</v>
      </c>
      <c r="G160" s="159">
        <f>'[1]7100'!H25+'[2]7100'!H25+'[3]7100'!H25+'[4]7100'!H25+'[5]7100'!H25</f>
        <v>23071882.300000004</v>
      </c>
      <c r="H160" s="159">
        <f>'[1]7100'!I25+'[2]7100'!I25+'[3]7100'!I25+'[4]7100'!I25+'[5]7100'!I25</f>
        <v>20086723.439999998</v>
      </c>
      <c r="I160" s="159">
        <f>'[1]7100'!J25+'[2]7100'!J25+'[3]7100'!J25+'[4]7100'!J25+'[5]7100'!J25</f>
        <v>0</v>
      </c>
      <c r="J160" s="159">
        <f>'[1]7100'!K25+'[2]7100'!K25+'[3]7100'!K25+'[4]7100'!K25+'[5]7100'!K25</f>
        <v>6000</v>
      </c>
      <c r="K160" s="159">
        <f>'[1]7100'!L25+'[2]7100'!L25+'[3]7100'!L25+'[4]7100'!L25+'[5]7100'!L25</f>
        <v>2979158.8600000036</v>
      </c>
    </row>
    <row r="161" spans="2:11" ht="12.75" hidden="1">
      <c r="B161" s="160" t="s">
        <v>298</v>
      </c>
      <c r="C161" s="159">
        <f>'[1]7100'!D26+'[2]7100'!D26+'[3]7100'!D26+'[4]7100'!D26+'[5]7100'!D26</f>
        <v>0</v>
      </c>
      <c r="D161" s="159">
        <f>'[1]7100'!E26+'[2]7100'!E26+'[3]7100'!E26+'[4]7100'!E26+'[5]7100'!E26</f>
        <v>0</v>
      </c>
      <c r="E161" s="159">
        <f>'[1]7100'!F26+'[2]7100'!F26+'[3]7100'!F26+'[4]7100'!F26+'[5]7100'!F26</f>
        <v>0</v>
      </c>
      <c r="F161" s="159">
        <f>'[1]7100'!G26+'[2]7100'!G26+'[3]7100'!G26+'[4]7100'!G26+'[5]7100'!G26</f>
        <v>0</v>
      </c>
      <c r="G161" s="159">
        <f>'[1]7100'!H26+'[2]7100'!H26+'[3]7100'!H26+'[4]7100'!H26+'[5]7100'!H26</f>
        <v>0</v>
      </c>
      <c r="H161" s="159">
        <f>'[1]7100'!I26+'[2]7100'!I26+'[3]7100'!I26+'[4]7100'!I26+'[5]7100'!I26</f>
        <v>0</v>
      </c>
      <c r="I161" s="159">
        <f>'[1]7100'!J26+'[2]7100'!J26+'[3]7100'!J26+'[4]7100'!J26+'[5]7100'!J26</f>
        <v>0</v>
      </c>
      <c r="J161" s="159">
        <f>'[1]7100'!K26+'[2]7100'!K26+'[3]7100'!K26+'[4]7100'!K26+'[5]7100'!K26</f>
        <v>0</v>
      </c>
      <c r="K161" s="159">
        <f>'[1]7100'!L26+'[2]7100'!L26+'[3]7100'!L26+'[4]7100'!L26+'[5]7100'!L26</f>
        <v>0</v>
      </c>
    </row>
    <row r="162" spans="2:11" ht="12.75" hidden="1">
      <c r="B162" s="164" t="s">
        <v>299</v>
      </c>
      <c r="C162" s="159">
        <f>'[1]7100'!D27+'[2]7100'!D27+'[3]7100'!D27+'[4]7100'!D27+'[5]7100'!D27</f>
        <v>118680.5</v>
      </c>
      <c r="D162" s="159">
        <f>'[1]7100'!E27+'[2]7100'!E27+'[3]7100'!E27+'[4]7100'!E27+'[5]7100'!E27</f>
        <v>0</v>
      </c>
      <c r="E162" s="159">
        <f>'[1]7100'!F27+'[2]7100'!F27+'[3]7100'!F27+'[4]7100'!F27+'[5]7100'!F27</f>
        <v>77510.13</v>
      </c>
      <c r="F162" s="159">
        <f>'[1]7100'!G27+'[2]7100'!G27+'[3]7100'!G27+'[4]7100'!G27+'[5]7100'!G27</f>
        <v>0</v>
      </c>
      <c r="G162" s="159">
        <f>'[1]7100'!H27+'[2]7100'!H27+'[3]7100'!H27+'[4]7100'!H27+'[5]7100'!H27</f>
        <v>41170.369999999995</v>
      </c>
      <c r="H162" s="159">
        <f>'[1]7100'!I27+'[2]7100'!I27+'[3]7100'!I27+'[4]7100'!I27+'[5]7100'!I27</f>
        <v>41160.37</v>
      </c>
      <c r="I162" s="159">
        <f>'[1]7100'!J27+'[2]7100'!J27+'[3]7100'!J27+'[4]7100'!J27+'[5]7100'!J27</f>
        <v>0</v>
      </c>
      <c r="J162" s="159">
        <f>'[1]7100'!K27+'[2]7100'!K27+'[3]7100'!K27+'[4]7100'!K27+'[5]7100'!K27</f>
        <v>0</v>
      </c>
      <c r="K162" s="159">
        <f>'[1]7100'!L27+'[2]7100'!L27+'[3]7100'!L27+'[4]7100'!L27+'[5]7100'!L27</f>
        <v>9.999999999992724</v>
      </c>
    </row>
    <row r="163" spans="2:11" ht="13.5" hidden="1" thickBot="1">
      <c r="B163" s="161" t="s">
        <v>401</v>
      </c>
      <c r="C163" s="162">
        <f aca="true" t="shared" si="13" ref="C163:K163">SUM(C154:C162)</f>
        <v>255331630.04999995</v>
      </c>
      <c r="D163" s="162">
        <f t="shared" si="13"/>
        <v>-1246245.28</v>
      </c>
      <c r="E163" s="162">
        <f t="shared" si="13"/>
        <v>3131048.87</v>
      </c>
      <c r="F163" s="162">
        <f t="shared" si="13"/>
        <v>0</v>
      </c>
      <c r="G163" s="162">
        <f t="shared" si="13"/>
        <v>250954335.89999995</v>
      </c>
      <c r="H163" s="162">
        <f t="shared" si="13"/>
        <v>239148172.70999998</v>
      </c>
      <c r="I163" s="162">
        <f t="shared" si="13"/>
        <v>0</v>
      </c>
      <c r="J163" s="162">
        <f t="shared" si="13"/>
        <v>1383794.17</v>
      </c>
      <c r="K163" s="162">
        <f t="shared" si="13"/>
        <v>10422369.019999977</v>
      </c>
    </row>
    <row r="164" spans="2:9" ht="15.75" hidden="1">
      <c r="B164" s="32"/>
      <c r="C164" s="32"/>
      <c r="D164" s="32"/>
      <c r="E164" s="32"/>
      <c r="F164" s="32"/>
      <c r="G164" s="32"/>
      <c r="H164" s="32"/>
      <c r="I164" s="32"/>
    </row>
    <row r="165" spans="2:9" ht="16.5" hidden="1" thickBot="1">
      <c r="B165" s="32"/>
      <c r="C165" s="32"/>
      <c r="D165" s="32"/>
      <c r="E165" s="32"/>
      <c r="F165" s="32"/>
      <c r="G165" s="32"/>
      <c r="H165" s="32"/>
      <c r="I165" s="32"/>
    </row>
    <row r="166" spans="2:9" ht="42.75" customHeight="1" hidden="1">
      <c r="B166" s="178" t="s">
        <v>408</v>
      </c>
      <c r="C166" s="179" t="s">
        <v>369</v>
      </c>
      <c r="D166" s="32"/>
      <c r="E166" s="178" t="s">
        <v>409</v>
      </c>
      <c r="F166" s="179" t="s">
        <v>369</v>
      </c>
      <c r="G166" s="32"/>
      <c r="H166" s="32"/>
      <c r="I166" s="32"/>
    </row>
    <row r="167" spans="2:9" ht="15.75" hidden="1">
      <c r="B167" s="180" t="s">
        <v>370</v>
      </c>
      <c r="C167" s="159">
        <f>'[1]6100'!D3+'[2]6100'!D3+'[3]6100'!D3+'[4]6100'!D3+'[5]6100'!D3</f>
        <v>272946405.68</v>
      </c>
      <c r="D167" s="41"/>
      <c r="E167" s="184" t="s">
        <v>383</v>
      </c>
      <c r="F167" s="159">
        <f>'[1]6100'!D23+'[2]6100'!D23+'[3]6100'!D23+'[4]6100'!D23+'[5]6100'!D23</f>
        <v>1559006907.57</v>
      </c>
      <c r="G167" s="41"/>
      <c r="H167" s="41"/>
      <c r="I167" s="41"/>
    </row>
    <row r="168" spans="2:6" ht="12.75" hidden="1">
      <c r="B168" s="181" t="s">
        <v>371</v>
      </c>
      <c r="C168" s="159">
        <f>'[1]6100'!D4+'[2]6100'!D4+'[3]6100'!D4+'[4]6100'!D4+'[5]6100'!D4</f>
        <v>259048397.83</v>
      </c>
      <c r="E168" s="185" t="s">
        <v>335</v>
      </c>
      <c r="F168" s="159">
        <f>'[1]6100'!D24+'[2]6100'!D24+'[3]6100'!D24+'[4]6100'!D24+'[5]6100'!D24</f>
        <v>855821738.04</v>
      </c>
    </row>
    <row r="169" spans="2:6" ht="12.75" hidden="1">
      <c r="B169" s="181" t="s">
        <v>372</v>
      </c>
      <c r="C169" s="159">
        <f>'[1]6100'!D5+'[2]6100'!D5+'[3]6100'!D5+'[4]6100'!D5+'[5]6100'!D5</f>
        <v>10422369.02</v>
      </c>
      <c r="E169" s="185" t="s">
        <v>337</v>
      </c>
      <c r="F169" s="159">
        <f>'[1]6100'!D25+'[2]6100'!D25+'[3]6100'!D25+'[4]6100'!D25+'[5]6100'!D25</f>
        <v>239148172.70999998</v>
      </c>
    </row>
    <row r="170" spans="2:6" ht="12.75" hidden="1">
      <c r="B170" s="181" t="s">
        <v>373</v>
      </c>
      <c r="C170" s="159">
        <f>'[1]6100'!D6+'[2]6100'!D6+'[3]6100'!D6+'[4]6100'!D6+'[5]6100'!D6</f>
        <v>13335984.68</v>
      </c>
      <c r="E170" s="185" t="s">
        <v>340</v>
      </c>
      <c r="F170" s="159">
        <f>'[1]6100'!D26+'[2]6100'!D26+'[3]6100'!D26+'[4]6100'!D26+'[5]6100'!D26</f>
        <v>464036996.82</v>
      </c>
    </row>
    <row r="171" spans="2:6" ht="12.75" hidden="1">
      <c r="B171" s="181" t="s">
        <v>374</v>
      </c>
      <c r="C171" s="159">
        <f>'[1]6100'!D7+'[2]6100'!D7+'[3]6100'!D7+'[4]6100'!D7+'[5]6100'!D7</f>
        <v>268186.77</v>
      </c>
      <c r="E171" s="181" t="s">
        <v>342</v>
      </c>
      <c r="F171" s="159">
        <f>'[1]6100'!D27+'[2]6100'!D27+'[3]6100'!D27+'[4]6100'!D27+'[5]6100'!D27</f>
        <v>0</v>
      </c>
    </row>
    <row r="172" spans="2:6" ht="12.75" hidden="1">
      <c r="B172" s="181" t="s">
        <v>375</v>
      </c>
      <c r="C172" s="159">
        <f>'[1]6100'!D8+'[2]6100'!D8+'[3]6100'!D8+'[4]6100'!D8+'[5]6100'!D8</f>
        <v>5460370.64</v>
      </c>
      <c r="E172" s="186" t="s">
        <v>345</v>
      </c>
      <c r="F172" s="159">
        <f>'[1]6100'!D28+'[2]6100'!D28+'[3]6100'!D28+'[4]6100'!D28+'[5]6100'!D28</f>
        <v>1533095290.36</v>
      </c>
    </row>
    <row r="173" spans="2:6" ht="12.75" hidden="1">
      <c r="B173" s="181" t="s">
        <v>376</v>
      </c>
      <c r="C173" s="159">
        <f>'[1]6100'!D9+'[2]6100'!D9+'[3]6100'!D9+'[4]6100'!D9+'[5]6100'!D9</f>
        <v>4668161.9799999995</v>
      </c>
      <c r="E173" s="185" t="s">
        <v>335</v>
      </c>
      <c r="F173" s="159">
        <f>'[1]6100'!D29+'[2]6100'!D29+'[3]6100'!D29+'[4]6100'!D29+'[5]6100'!D29</f>
        <v>1023096647.34</v>
      </c>
    </row>
    <row r="174" spans="2:6" ht="12.75" hidden="1">
      <c r="B174" s="180" t="s">
        <v>377</v>
      </c>
      <c r="C174" s="159">
        <f>'[1]6100'!D10+'[2]6100'!D10+'[3]6100'!D10+'[4]6100'!D10+'[5]6100'!D10</f>
        <v>66205188.489999995</v>
      </c>
      <c r="E174" s="185" t="s">
        <v>337</v>
      </c>
      <c r="F174" s="159">
        <f>'[1]6100'!D30+'[2]6100'!D30+'[3]6100'!D30+'[4]6100'!D30+'[5]6100'!D30</f>
        <v>42777130.75</v>
      </c>
    </row>
    <row r="175" spans="2:9" ht="15.75" hidden="1">
      <c r="B175" s="181" t="s">
        <v>371</v>
      </c>
      <c r="C175" s="159">
        <f>'[1]6100'!D11+'[2]6100'!D11+'[3]6100'!D11+'[4]6100'!D11+'[5]6100'!D11</f>
        <v>35954315.78</v>
      </c>
      <c r="D175" s="101"/>
      <c r="E175" s="185" t="s">
        <v>340</v>
      </c>
      <c r="F175" s="159">
        <f>'[1]6100'!D31+'[2]6100'!D31+'[3]6100'!D31+'[4]6100'!D31+'[5]6100'!D31</f>
        <v>467197444.02000004</v>
      </c>
      <c r="G175" s="101"/>
      <c r="H175" s="101"/>
      <c r="I175" s="101"/>
    </row>
    <row r="176" spans="2:6" ht="12.75" hidden="1">
      <c r="B176" s="181" t="s">
        <v>372</v>
      </c>
      <c r="C176" s="159">
        <f>'[1]6100'!D12+'[2]6100'!D12+'[3]6100'!D12+'[4]6100'!D12+'[5]6100'!D12</f>
        <v>472619.01</v>
      </c>
      <c r="E176" s="181" t="s">
        <v>342</v>
      </c>
      <c r="F176" s="159">
        <f>'[1]6100'!D32+'[2]6100'!D32+'[3]6100'!D32+'[4]6100'!D32+'[5]6100'!D32</f>
        <v>24068.25</v>
      </c>
    </row>
    <row r="177" spans="2:6" ht="12.75" hidden="1">
      <c r="B177" s="181" t="s">
        <v>373</v>
      </c>
      <c r="C177" s="159">
        <f>'[1]6100'!D13+'[2]6100'!D13+'[3]6100'!D13+'[4]6100'!D13+'[5]6100'!D13</f>
        <v>28236608.68</v>
      </c>
      <c r="E177" s="187" t="s">
        <v>384</v>
      </c>
      <c r="F177" s="159">
        <f>'[1]6100'!D33+'[2]6100'!D33+'[3]6100'!D33+'[4]6100'!D33+'[5]6100'!D33</f>
        <v>25911617.20999995</v>
      </c>
    </row>
    <row r="178" spans="2:6" ht="12.75" hidden="1">
      <c r="B178" s="181" t="s">
        <v>374</v>
      </c>
      <c r="C178" s="159">
        <f>'[1]6100'!D14+'[2]6100'!D14+'[3]6100'!D14+'[4]6100'!D14+'[5]6100'!D14</f>
        <v>2032719.79</v>
      </c>
      <c r="E178" s="187" t="s">
        <v>356</v>
      </c>
      <c r="F178" s="159">
        <f>'[1]6100'!D34+'[2]6100'!D34+'[3]6100'!D34+'[4]6100'!D34+'[5]6100'!D34</f>
        <v>132773237.22</v>
      </c>
    </row>
    <row r="179" spans="2:9" ht="16.5" hidden="1" thickBot="1">
      <c r="B179" s="181" t="s">
        <v>378</v>
      </c>
      <c r="C179" s="159">
        <f>'[1]6100'!D15+'[2]6100'!D15+'[3]6100'!D15+'[4]6100'!D15+'[5]6100'!D15</f>
        <v>491074.77</v>
      </c>
      <c r="D179" s="42"/>
      <c r="E179" s="188" t="s">
        <v>360</v>
      </c>
      <c r="F179" s="159">
        <f>'[1]6100'!D35+'[2]6100'!D35+'[3]6100'!D35+'[4]6100'!D35+'[5]6100'!D35</f>
        <v>158684854.42999995</v>
      </c>
      <c r="G179" s="42"/>
      <c r="H179" s="42"/>
      <c r="I179" s="42"/>
    </row>
    <row r="180" spans="2:9" ht="15.75" hidden="1">
      <c r="B180" s="180" t="s">
        <v>379</v>
      </c>
      <c r="C180" s="159">
        <f>'[1]6100'!D16+'[2]6100'!D16+'[3]6100'!D16+'[4]6100'!D16+'[5]6100'!D16</f>
        <v>158684854.43</v>
      </c>
      <c r="D180" s="42"/>
      <c r="G180" s="42"/>
      <c r="H180" s="42"/>
      <c r="I180" s="42"/>
    </row>
    <row r="181" spans="2:9" ht="15.75" hidden="1">
      <c r="B181" s="182" t="s">
        <v>380</v>
      </c>
      <c r="C181" s="159">
        <f>'[1]6100'!D17+'[2]6100'!D17+'[3]6100'!D17+'[4]6100'!D17+'[5]6100'!D17</f>
        <v>203777923.01999998</v>
      </c>
      <c r="D181" s="42"/>
      <c r="G181" s="42"/>
      <c r="H181" s="42"/>
      <c r="I181" s="42"/>
    </row>
    <row r="182" spans="2:9" ht="15.75" hidden="1">
      <c r="B182" s="182" t="s">
        <v>381</v>
      </c>
      <c r="C182" s="159">
        <f>'[1]6100'!D18+'[2]6100'!D18+'[3]6100'!D18+'[4]6100'!D18+'[5]6100'!D18</f>
        <v>161648148.58999997</v>
      </c>
      <c r="D182" s="42"/>
      <c r="G182" s="42"/>
      <c r="H182" s="42"/>
      <c r="I182" s="42"/>
    </row>
    <row r="183" spans="2:9" ht="16.5" hidden="1" thickBot="1">
      <c r="B183" s="183" t="s">
        <v>382</v>
      </c>
      <c r="C183" s="159">
        <f>'[1]6100'!D19+'[2]6100'!D19+'[3]6100'!D19+'[4]6100'!D19+'[5]6100'!D19</f>
        <v>365426071.62</v>
      </c>
      <c r="D183" s="42"/>
      <c r="G183" s="42"/>
      <c r="H183" s="42"/>
      <c r="I183" s="42"/>
    </row>
    <row r="184" spans="4:9" ht="15.75" hidden="1">
      <c r="D184" s="42"/>
      <c r="E184" s="42"/>
      <c r="F184" s="42"/>
      <c r="G184" s="42"/>
      <c r="H184" s="42"/>
      <c r="I184" s="42"/>
    </row>
    <row r="185" spans="4:9" ht="15.75">
      <c r="D185" s="42"/>
      <c r="E185" s="42"/>
      <c r="F185" s="42"/>
      <c r="G185" s="42"/>
      <c r="H185" s="42"/>
      <c r="I185" s="42"/>
    </row>
    <row r="186" spans="4:9" ht="15.75">
      <c r="D186" s="42"/>
      <c r="E186" s="42"/>
      <c r="F186" s="42"/>
      <c r="G186" s="42"/>
      <c r="H186" s="42"/>
      <c r="I186" s="42"/>
    </row>
    <row r="187" spans="4:9" ht="15.75">
      <c r="D187" s="42"/>
      <c r="E187" s="42"/>
      <c r="F187" s="42"/>
      <c r="G187" s="42"/>
      <c r="H187" s="42"/>
      <c r="I187" s="42"/>
    </row>
    <row r="188" spans="4:9" ht="15.75">
      <c r="D188" s="42"/>
      <c r="E188" s="42"/>
      <c r="F188" s="42"/>
      <c r="G188" s="42"/>
      <c r="H188" s="42"/>
      <c r="I188" s="42"/>
    </row>
    <row r="189" spans="4:9" ht="15.75">
      <c r="D189" s="42"/>
      <c r="E189" s="42"/>
      <c r="F189" s="42"/>
      <c r="G189" s="42"/>
      <c r="H189" s="42"/>
      <c r="I189" s="42"/>
    </row>
    <row r="190" spans="4:9" ht="15.75">
      <c r="D190" s="42"/>
      <c r="E190" s="42"/>
      <c r="F190" s="42"/>
      <c r="G190" s="42"/>
      <c r="H190" s="42"/>
      <c r="I190" s="42"/>
    </row>
    <row r="191" spans="4:9" ht="15.75">
      <c r="D191" s="42"/>
      <c r="E191" s="42"/>
      <c r="F191" s="42"/>
      <c r="G191" s="42"/>
      <c r="H191" s="42"/>
      <c r="I191" s="42"/>
    </row>
    <row r="192" spans="4:9" ht="15.75">
      <c r="D192" s="42"/>
      <c r="E192" s="42"/>
      <c r="F192" s="42"/>
      <c r="G192" s="42"/>
      <c r="H192" s="42"/>
      <c r="I192" s="42"/>
    </row>
    <row r="193" spans="4:9" ht="15.75">
      <c r="D193" s="42"/>
      <c r="E193" s="42"/>
      <c r="F193" s="42"/>
      <c r="G193" s="42"/>
      <c r="H193" s="42"/>
      <c r="I193" s="42"/>
    </row>
    <row r="194" spans="4:9" ht="15.75">
      <c r="D194" s="42"/>
      <c r="E194" s="42"/>
      <c r="F194" s="42"/>
      <c r="G194" s="42"/>
      <c r="H194" s="42"/>
      <c r="I194" s="42"/>
    </row>
    <row r="195" spans="4:9" ht="15.75">
      <c r="D195" s="42"/>
      <c r="E195" s="42"/>
      <c r="F195" s="42"/>
      <c r="G195" s="42"/>
      <c r="H195" s="42"/>
      <c r="I195" s="42"/>
    </row>
    <row r="196" spans="4:9" ht="15.75">
      <c r="D196" s="42"/>
      <c r="E196" s="42"/>
      <c r="F196" s="42"/>
      <c r="G196" s="42"/>
      <c r="H196" s="42"/>
      <c r="I196" s="42"/>
    </row>
    <row r="197" spans="4:9" ht="15.75">
      <c r="D197" s="42"/>
      <c r="E197" s="42"/>
      <c r="F197" s="42"/>
      <c r="G197" s="42"/>
      <c r="H197" s="42"/>
      <c r="I197" s="42"/>
    </row>
    <row r="198" spans="4:9" ht="15.75">
      <c r="D198" s="42"/>
      <c r="E198" s="42"/>
      <c r="F198" s="42"/>
      <c r="G198" s="42"/>
      <c r="H198" s="42"/>
      <c r="I198" s="42"/>
    </row>
  </sheetData>
  <mergeCells count="53">
    <mergeCell ref="A71:B71"/>
    <mergeCell ref="A24:B24"/>
    <mergeCell ref="A34:B34"/>
    <mergeCell ref="A40:B40"/>
    <mergeCell ref="A10:B10"/>
    <mergeCell ref="A11:B11"/>
    <mergeCell ref="A20:B20"/>
    <mergeCell ref="A23:B23"/>
    <mergeCell ref="E45:G45"/>
    <mergeCell ref="E47:G47"/>
    <mergeCell ref="E48:G48"/>
    <mergeCell ref="E49:G49"/>
    <mergeCell ref="E40:F40"/>
    <mergeCell ref="E42:G42"/>
    <mergeCell ref="E43:G43"/>
    <mergeCell ref="E44:G44"/>
    <mergeCell ref="B151:B153"/>
    <mergeCell ref="C151:C152"/>
    <mergeCell ref="B102:B104"/>
    <mergeCell ref="C102:C103"/>
    <mergeCell ref="E50:G50"/>
    <mergeCell ref="A81:C81"/>
    <mergeCell ref="E81:H81"/>
    <mergeCell ref="A66:B66"/>
    <mergeCell ref="A61:B61"/>
    <mergeCell ref="G88:G89"/>
    <mergeCell ref="B88:B90"/>
    <mergeCell ref="C88:C89"/>
    <mergeCell ref="D88:D89"/>
    <mergeCell ref="E88:E89"/>
    <mergeCell ref="F88:F89"/>
    <mergeCell ref="H151:H152"/>
    <mergeCell ref="K102:K103"/>
    <mergeCell ref="B137:B139"/>
    <mergeCell ref="C137:C138"/>
    <mergeCell ref="D137:D138"/>
    <mergeCell ref="E137:E138"/>
    <mergeCell ref="F137:F138"/>
    <mergeCell ref="G137:G138"/>
    <mergeCell ref="G102:G103"/>
    <mergeCell ref="H102:H103"/>
    <mergeCell ref="I102:I103"/>
    <mergeCell ref="J102:J103"/>
    <mergeCell ref="F102:F103"/>
    <mergeCell ref="D102:D103"/>
    <mergeCell ref="E102:E103"/>
    <mergeCell ref="I151:I152"/>
    <mergeCell ref="J151:J152"/>
    <mergeCell ref="K151:K152"/>
    <mergeCell ref="D151:D152"/>
    <mergeCell ref="E151:E152"/>
    <mergeCell ref="F151:F152"/>
    <mergeCell ref="G151:G152"/>
  </mergeCells>
  <printOptions horizontalCentered="1"/>
  <pageMargins left="0.31496062992125984" right="0.31496062992125984" top="0.5905511811023623" bottom="0.5905511811023623" header="0" footer="0"/>
  <pageSetup fitToHeight="1" fitToWidth="1" horizontalDpi="600" verticalDpi="600" orientation="portrait" paperSize="9" scale="46"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3"/>
  <sheetViews>
    <sheetView zoomScale="75" zoomScaleNormal="75" workbookViewId="0" topLeftCell="A1"/>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tr">
        <f>"EJERCICIO    "&amp;Balance!L1</f>
        <v>EJERCICIO    2016</v>
      </c>
      <c r="C1" s="8"/>
    </row>
    <row r="2" spans="1:3" ht="12.95" customHeight="1" thickBot="1">
      <c r="A2" s="5"/>
      <c r="B2" s="6"/>
      <c r="C2" s="8"/>
    </row>
    <row r="3" spans="1:3" ht="33" customHeight="1">
      <c r="A3" s="70" t="str">
        <f>"                                            "&amp;"UNIVERSIDADES"</f>
        <v xml:space="preserve">                                            UNIVERSIDADES</v>
      </c>
      <c r="B3" s="10"/>
      <c r="C3" s="8"/>
    </row>
    <row r="4" spans="1:4" ht="20.1" customHeight="1">
      <c r="A4" s="14" t="str">
        <f>"AGREGADO"</f>
        <v>AGREGADO</v>
      </c>
      <c r="B4" s="74"/>
      <c r="C4" s="8"/>
      <c r="D4" s="89"/>
    </row>
    <row r="5" spans="1:3" ht="18" customHeight="1" thickBot="1">
      <c r="A5" s="18"/>
      <c r="B5" s="44"/>
      <c r="C5" s="8"/>
    </row>
    <row r="6" spans="1:4" ht="15" customHeight="1">
      <c r="A6" s="91"/>
      <c r="B6" s="92"/>
      <c r="C6" s="8"/>
      <c r="D6" s="92"/>
    </row>
    <row r="7" spans="1:4" ht="12.95" customHeight="1">
      <c r="A7" s="95"/>
      <c r="B7" s="95"/>
      <c r="C7" s="8"/>
      <c r="D7" s="95"/>
    </row>
    <row r="8" spans="1:4" ht="20.25">
      <c r="A8" s="97" t="s">
        <v>43</v>
      </c>
      <c r="B8" s="32"/>
      <c r="C8" s="8"/>
      <c r="D8" s="32"/>
    </row>
    <row r="9" ht="21" customHeight="1">
      <c r="C9" s="8"/>
    </row>
    <row r="10" ht="12.95" customHeight="1">
      <c r="C10" s="8"/>
    </row>
    <row r="11" ht="12.95" customHeight="1" thickBot="1">
      <c r="C11" s="8"/>
    </row>
    <row r="12" spans="1:3" ht="18.95" customHeight="1">
      <c r="A12" s="103" t="s">
        <v>48</v>
      </c>
      <c r="B12" s="103"/>
      <c r="C12" s="8"/>
    </row>
    <row r="13" ht="12.95" customHeight="1"/>
    <row r="14" ht="18" customHeight="1">
      <c r="A14" s="1" t="s">
        <v>0</v>
      </c>
    </row>
    <row r="15" ht="18" customHeight="1">
      <c r="A15" s="1" t="s">
        <v>1</v>
      </c>
    </row>
    <row r="16" ht="18" customHeight="1">
      <c r="A16" s="1" t="s">
        <v>2</v>
      </c>
    </row>
    <row r="17" ht="18" customHeight="1">
      <c r="A17" s="1" t="s">
        <v>3</v>
      </c>
    </row>
    <row r="18" ht="18" customHeight="1">
      <c r="A18" s="1" t="s">
        <v>4</v>
      </c>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printOptions horizontalCentered="1"/>
  <pageMargins left="0.31496062992125984" right="0.31496062992125984" top="0.5905511811023623" bottom="0.5905511811023623" header="0" footer="0"/>
  <pageSetup fitToHeight="2"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jamartinez</cp:lastModifiedBy>
  <cp:lastPrinted>2018-06-14T12:05:26Z</cp:lastPrinted>
  <dcterms:created xsi:type="dcterms:W3CDTF">2010-12-21T11:30:58Z</dcterms:created>
  <dcterms:modified xsi:type="dcterms:W3CDTF">2018-06-14T12:05:36Z</dcterms:modified>
  <cp:category/>
  <cp:version/>
  <cp:contentType/>
  <cp:contentStatus/>
</cp:coreProperties>
</file>