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420" windowWidth="13875" windowHeight="7905" tabRatio="887" firstSheet="1" activeTab="1"/>
  </bookViews>
  <sheets>
    <sheet name="Acerno_Cache_XXXXX" sheetId="11" state="veryHidden" r:id="rId1"/>
    <sheet name="Información" sheetId="8" r:id="rId2"/>
    <sheet name="Balance" sheetId="6" r:id="rId3"/>
    <sheet name="Cuenta" sheetId="7" r:id="rId4"/>
    <sheet name="Liquidación del presupuesto" sheetId="10" r:id="rId5"/>
    <sheet name="Memoria" sheetId="9" r:id="rId6"/>
    <sheet name="Entidades agregadas" sheetId="5"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2">'Balance'!$A$1:$K$51</definedName>
    <definedName name="_xlnm.Print_Area" localSheetId="3">'Cuenta'!$A$1:$K$88</definedName>
    <definedName name="_xlnm.Print_Area" localSheetId="6">'Entidades agregadas'!$A$1:$B$19</definedName>
    <definedName name="_xlnm.Print_Area" localSheetId="1">'Información'!$A$1:$B$54</definedName>
    <definedName name="_xlnm.Print_Area" localSheetId="4">'Liquidación del presupuesto'!$A$1:$M$84</definedName>
    <definedName name="_xlnm.Print_Area" localSheetId="5">'Memoria'!$A$1:$I$83</definedName>
    <definedName name="tm_1006633539">#REF!</definedName>
    <definedName name="tm_603982494">#REF!</definedName>
    <definedName name="tm_671088875">#REF!</definedName>
    <definedName name="tm_805306395">#REF!</definedName>
    <definedName name="tm_805306397">#REF!</definedName>
    <definedName name="_xlnm.Print_Titles" localSheetId="6">'Entidades agregadas'!$1:$13</definedName>
  </definedNames>
  <calcPr calcId="152511"/>
</workbook>
</file>

<file path=xl/sharedStrings.xml><?xml version="1.0" encoding="utf-8"?>
<sst xmlns="http://schemas.openxmlformats.org/spreadsheetml/2006/main" count="817" uniqueCount="442">
  <si>
    <t>Universitat de València</t>
  </si>
  <si>
    <t>Universidad Politécnica de Valencia</t>
  </si>
  <si>
    <t>Universidad de Alicante</t>
  </si>
  <si>
    <t>Universitat Jaume I</t>
  </si>
  <si>
    <t>B) GASTOS A DISTRIBUIR EN VARIOS EJERCICIOS</t>
  </si>
  <si>
    <t>B) INGRESOS A DISTRIBUIR EN VARIOS EJERCICIOS</t>
  </si>
  <si>
    <t>C) PROVISIONES PARA RIESGOS Y GASTOS</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</si>
  <si>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</si>
  <si>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</si>
  <si>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</si>
  <si>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</si>
  <si>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</si>
  <si>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</si>
  <si>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</si>
  <si>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</si>
  <si>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</si>
  <si>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</si>
  <si>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</si>
  <si>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</si>
  <si>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</si>
  <si>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</si>
  <si>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</si>
  <si>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</si>
  <si>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</si>
  <si>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</si>
  <si>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</si>
  <si>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</si>
  <si>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</si>
  <si>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</si>
  <si>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</si>
  <si>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</si>
  <si>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</si>
  <si>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</si>
  <si>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</si>
  <si>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</si>
  <si>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</si>
  <si>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</si>
  <si>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</si>
  <si>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</si>
  <si>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</si>
  <si>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</si>
  <si>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</si>
  <si>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</si>
  <si>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</si>
  <si>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</si>
  <si>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</si>
  <si>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</si>
  <si>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</si>
  <si>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</si>
  <si>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</si>
  <si>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</si>
  <si>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</si>
  <si>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</si>
  <si>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</si>
  <si>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</si>
  <si>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</si>
  <si>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</si>
  <si>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</si>
  <si>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</si>
  <si>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II. Inmovilizaciones inmateriales</t>
  </si>
  <si>
    <t xml:space="preserve"> III. Inmovilizaciones materiales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</si>
  <si>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</si>
  <si>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</si>
  <si>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</si>
  <si>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</si>
  <si>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</si>
  <si>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</si>
  <si>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</si>
  <si>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</si>
  <si>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II. Deudores</t>
  </si>
  <si>
    <t xml:space="preserve">   1. Deudores presupuestarios</t>
  </si>
  <si>
    <t xml:space="preserve">   4. Administraciones públicas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</si>
  <si>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</si>
  <si>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</si>
  <si>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</si>
  <si>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</si>
  <si>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</si>
  <si>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</si>
  <si>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</si>
  <si>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</si>
  <si>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</si>
  <si>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</si>
  <si>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</si>
  <si>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</si>
  <si>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</si>
  <si>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</si>
  <si>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</si>
  <si>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</si>
  <si>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</si>
  <si>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IV. Resultados del ejercicio</t>
  </si>
  <si>
    <t>D) ACREEDORES A LARGO PLAZO</t>
  </si>
  <si>
    <t xml:space="preserve"> I. Emisiones de obligaciones y otros valores negociables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</si>
  <si>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</si>
  <si>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</si>
  <si>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</si>
  <si>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</si>
  <si>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</si>
  <si>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</si>
  <si>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</si>
  <si>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II. Deudas con entidades de crédito</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</si>
  <si>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</si>
  <si>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</si>
  <si>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</si>
  <si>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</si>
  <si>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</si>
  <si>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</si>
  <si>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</si>
  <si>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</si>
  <si>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</si>
  <si>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</si>
  <si>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</si>
  <si>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</si>
  <si>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</si>
  <si>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</si>
  <si>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</si>
  <si>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</si>
  <si>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</si>
  <si>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</si>
  <si>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</si>
  <si>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</si>
  <si>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</si>
  <si>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</si>
  <si>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</si>
  <si>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</si>
  <si>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</si>
  <si>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</si>
  <si>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</si>
  <si>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</si>
  <si>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</si>
  <si>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</si>
  <si>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</si>
  <si>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</si>
  <si>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</si>
  <si>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</si>
  <si>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</si>
  <si>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</si>
  <si>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</si>
  <si>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</si>
  <si>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</si>
  <si>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</si>
  <si>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</si>
  <si>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</si>
  <si>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</si>
  <si>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</si>
  <si>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</si>
  <si>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</si>
  <si>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</si>
  <si>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</si>
  <si>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</si>
  <si>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</si>
  <si>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</si>
  <si>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</si>
  <si>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</si>
  <si>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</si>
  <si>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</si>
  <si>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</si>
  <si>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</si>
  <si>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</si>
  <si>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</si>
  <si>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</si>
  <si>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</si>
  <si>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</si>
  <si>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</si>
  <si>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</si>
  <si>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</si>
  <si>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</si>
  <si>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</si>
  <si>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</si>
  <si>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</si>
  <si>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</si>
  <si>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</si>
  <si>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</si>
  <si>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</si>
  <si>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</si>
  <si>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</si>
  <si>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</si>
  <si>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</si>
  <si>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</si>
  <si>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</si>
  <si>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</si>
  <si>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</si>
  <si>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</si>
  <si>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</si>
  <si>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</si>
  <si>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</si>
  <si>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</si>
  <si>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</si>
  <si>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</si>
  <si>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</si>
  <si>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</si>
  <si>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</si>
  <si>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</si>
  <si>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</si>
  <si>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</si>
  <si>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</si>
  <si>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</si>
  <si>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</si>
  <si>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</si>
  <si>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</si>
  <si>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</si>
  <si>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</si>
  <si>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</si>
  <si>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</si>
  <si>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</si>
  <si>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</si>
  <si>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</si>
  <si>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</si>
  <si>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</si>
  <si>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</si>
  <si>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</si>
  <si>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</si>
  <si>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</si>
  <si>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</si>
  <si>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</si>
  <si>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</si>
  <si>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</si>
  <si>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</si>
  <si>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</si>
  <si>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</si>
  <si>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</si>
  <si>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</si>
  <si>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</si>
  <si>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</si>
  <si>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</si>
  <si>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</si>
  <si>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</si>
  <si>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</si>
  <si>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</si>
  <si>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</si>
  <si>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</si>
  <si>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</si>
  <si>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</si>
  <si>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</si>
  <si>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</si>
  <si>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</si>
  <si>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</si>
  <si>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</si>
  <si>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</si>
  <si>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</si>
  <si>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</si>
  <si>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</si>
  <si>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</si>
  <si>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</si>
  <si>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</si>
  <si>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</si>
  <si>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</si>
  <si>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</si>
  <si>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</si>
  <si>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</si>
  <si>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</si>
  <si>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</si>
  <si>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</si>
  <si>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</si>
  <si>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</si>
  <si>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</si>
  <si>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</si>
  <si>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</si>
  <si>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</si>
  <si>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</si>
  <si>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</si>
  <si>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</si>
  <si>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</si>
  <si>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</si>
  <si>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</si>
  <si>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</si>
  <si>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</si>
  <si>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</si>
  <si>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</si>
  <si>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</si>
  <si>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</si>
  <si>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</si>
  <si>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</si>
  <si>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</si>
  <si>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</si>
  <si>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</si>
  <si>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</si>
  <si>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</si>
  <si>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</si>
  <si>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</si>
  <si>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</si>
  <si>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</si>
  <si>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</si>
  <si>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</si>
  <si>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</si>
  <si>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</si>
  <si>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</si>
  <si>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</si>
  <si>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</si>
  <si>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</si>
  <si>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</si>
  <si>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</si>
  <si>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</si>
  <si>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</si>
  <si>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</si>
  <si>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</si>
  <si>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</si>
  <si>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</si>
  <si>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</si>
  <si>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</si>
  <si>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</si>
  <si>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</si>
  <si>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</si>
  <si>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</si>
  <si>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</si>
  <si>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</si>
  <si>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</si>
  <si>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</si>
  <si>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</si>
  <si>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</si>
  <si>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</si>
  <si>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</si>
  <si>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</si>
  <si>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</si>
  <si>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</si>
  <si>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</si>
  <si>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</si>
  <si>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</si>
  <si>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</si>
  <si>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</si>
  <si>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</si>
  <si>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</si>
  <si>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</si>
  <si>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</si>
  <si>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</si>
  <si>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</si>
  <si>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</si>
  <si>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</si>
  <si>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</si>
  <si>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</si>
  <si>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</si>
  <si>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</si>
  <si>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</si>
  <si>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</si>
  <si>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</si>
  <si>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</si>
  <si>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</si>
  <si>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</si>
  <si>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</si>
  <si>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</si>
  <si>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</si>
  <si>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</si>
  <si>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</si>
  <si>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</si>
  <si>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</si>
  <si>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</si>
  <si>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</si>
  <si>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</si>
  <si>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</si>
  <si>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</si>
  <si>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</si>
  <si>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</si>
  <si>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</si>
  <si>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</si>
  <si>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</si>
  <si>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</si>
  <si>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</si>
  <si>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</si>
  <si>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</si>
  <si>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</si>
  <si>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IV. RESULTADO PRESUPUESTARIO AGREGADO</t>
  </si>
  <si>
    <t>II. LIQUIDACIÓN DEL PRESUPUESTO DE INGRESOS AGREGADA</t>
  </si>
  <si>
    <t xml:space="preserve"> I. LIQUIDACIÓN DEL PRESUPUESTO DE GASTOS AGREGADO</t>
  </si>
  <si>
    <t>1.PRESUPUESTO DE GASTOS.             OBLIGACIONES AGREGADAS</t>
  </si>
  <si>
    <t>Instrumental</t>
  </si>
  <si>
    <t>Universidades</t>
  </si>
  <si>
    <t>Los estados presentados no son consolidados.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</si>
  <si>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Avales prestados por la Generalitat a las universidades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</si>
  <si>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</si>
  <si>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</si>
  <si>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</si>
  <si>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</si>
  <si>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</si>
  <si>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</si>
  <si>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</si>
  <si>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</si>
  <si>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</si>
  <si>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</si>
  <si>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</si>
  <si>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</si>
  <si>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</si>
  <si>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</si>
  <si>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</si>
  <si>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</si>
  <si>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</si>
  <si>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</si>
  <si>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</si>
  <si>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</si>
  <si>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</si>
  <si>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</si>
  <si>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</si>
  <si>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</si>
  <si>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</si>
  <si>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</si>
  <si>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</si>
  <si>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</si>
  <si>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</si>
  <si>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</si>
  <si>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</si>
  <si>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</si>
  <si>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</si>
  <si>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Número de entidades agregadas</t>
  </si>
  <si>
    <t>Número de entidades no agregadas</t>
  </si>
  <si>
    <t>OTROS INDICADORES Y MAGNITUDES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</si>
  <si>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</si>
  <si>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</si>
  <si>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</si>
  <si>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</si>
  <si>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</si>
  <si>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</si>
  <si>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</si>
  <si>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</si>
  <si>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</si>
  <si>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</si>
  <si>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</si>
  <si>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</si>
  <si>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</si>
  <si>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</si>
  <si>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</si>
  <si>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</si>
  <si>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</si>
  <si>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</si>
  <si>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</si>
  <si>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</si>
  <si>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</si>
  <si>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r>
      <t>FUENTE</t>
    </r>
    <r>
      <rPr>
        <sz val="12"/>
        <rFont val="Times New Roman"/>
        <family val="1"/>
      </rPr>
      <t>: Elaboración propia a partir de las cuentas rendidas.</t>
    </r>
  </si>
  <si>
    <t>X110</t>
  </si>
  <si>
    <t xml:space="preserve">    a) Impuesto sobre la renta de las personas físicas, de sociedades y de patrimonio</t>
  </si>
  <si>
    <t xml:space="preserve">    b) Otros impuestos: Impuestos ligados a la producción e importación</t>
  </si>
  <si>
    <t xml:space="preserve">    c) Impuestos sobre el capital: Impuesto sobre sucesiones y donaciones</t>
  </si>
  <si>
    <t xml:space="preserve">    d) Ingresos tributarios de las universidades</t>
  </si>
  <si>
    <t>ESTADO DE LA TESORERÍA AGREGADO</t>
  </si>
  <si>
    <t>PRESUPUESTOS CERRADOS AGREGADOS</t>
  </si>
  <si>
    <t>2. PRESUPUESTO DE INGRESOS.                  DERECHOS A COBRAR AGREGADOS (a)</t>
  </si>
  <si>
    <r>
      <t xml:space="preserve">(a) </t>
    </r>
    <r>
      <rPr>
        <sz val="12"/>
        <rFont val="Times New Roman"/>
        <family val="1"/>
      </rPr>
      <t>No se agrega la Universidad Politécnica de Valencia, al estar disponible esta información.</t>
    </r>
  </si>
  <si>
    <t>X111</t>
  </si>
  <si>
    <t xml:space="preserve">   1. Coste del inmovilizado material</t>
  </si>
  <si>
    <t xml:space="preserve">   2. Amortizaciones</t>
  </si>
  <si>
    <t>X112</t>
  </si>
  <si>
    <t xml:space="preserve">   3. Administraciones públicas</t>
  </si>
  <si>
    <t>PGC público 1994 y PGC público 1981</t>
  </si>
  <si>
    <t xml:space="preserve">   1. Coste del inmovilizado inmaterial</t>
  </si>
  <si>
    <t xml:space="preserve">   2. Deudores no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</si>
</sst>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euros&quot;"/>
  </numFmts>
  <fonts count="18">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8" fontId="8" fillId="0" borderId="0">
      <alignment/>
      <protection/>
    </xf>
    <xf numFmtId="168" fontId="8" fillId="0" borderId="0">
      <alignment/>
      <protection/>
    </xf>
    <xf numFmtId="37" fontId="8" fillId="0" borderId="0">
      <alignment/>
      <protection/>
    </xf>
  </cellStyleXfs>
  <cellXfs count="254">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168" fontId="9" fillId="2" borderId="0" xfId="22" applyFont="1" applyFill="1" applyAlignment="1" applyProtection="1">
      <alignment horizontal="left"/>
      <protection/>
    </xf>
    <xf numFmtId="168" fontId="9" fillId="2" borderId="0" xfId="22" applyFont="1" applyFill="1" applyProtection="1">
      <alignment/>
      <protection/>
    </xf>
    <xf numFmtId="168"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8" fontId="10" fillId="2" borderId="0" xfId="22" applyFont="1" applyFill="1" applyProtection="1">
      <alignment/>
      <protection/>
    </xf>
    <xf numFmtId="168" fontId="9" fillId="2" borderId="1" xfId="22" applyFont="1" applyFill="1" applyBorder="1" applyProtection="1">
      <alignment/>
      <protection/>
    </xf>
    <xf numFmtId="168" fontId="10" fillId="2" borderId="1" xfId="22" applyFont="1" applyFill="1" applyBorder="1" applyProtection="1">
      <alignment/>
      <protection/>
    </xf>
    <xf numFmtId="168" fontId="4" fillId="2" borderId="1" xfId="22" applyFont="1" applyFill="1" applyBorder="1" applyAlignment="1" applyProtection="1">
      <alignment horizontal="right"/>
      <protection/>
    </xf>
    <xf numFmtId="4" fontId="3" fillId="2" borderId="1" xfId="0" applyNumberFormat="1" applyFont="1" applyFill="1" applyBorder="1"/>
    <xf numFmtId="168" fontId="10" fillId="2" borderId="0" xfId="22" applyFont="1" applyFill="1" applyBorder="1" applyProtection="1">
      <alignment/>
      <protection/>
    </xf>
    <xf numFmtId="168" fontId="9" fillId="2" borderId="0" xfId="22" applyFont="1" applyFill="1" applyBorder="1" applyProtection="1">
      <alignment/>
      <protection/>
    </xf>
    <xf numFmtId="168" fontId="4" fillId="2" borderId="0" xfId="22" applyFont="1" applyFill="1" applyBorder="1" applyAlignment="1" applyProtection="1">
      <alignment horizontal="right"/>
      <protection/>
    </xf>
    <xf numFmtId="4" fontId="3" fillId="2" borderId="0" xfId="0" applyNumberFormat="1" applyFont="1" applyFill="1" applyBorder="1"/>
    <xf numFmtId="168" fontId="10" fillId="2" borderId="2" xfId="23" applyFont="1" applyFill="1" applyBorder="1">
      <alignment/>
      <protection/>
    </xf>
    <xf numFmtId="168" fontId="10" fillId="2" borderId="2" xfId="23" applyFont="1" applyFill="1" applyBorder="1" applyProtection="1">
      <alignment/>
      <protection/>
    </xf>
    <xf numFmtId="168" fontId="10" fillId="2" borderId="0" xfId="23" applyFont="1" applyFill="1" applyBorder="1">
      <alignment/>
      <protection/>
    </xf>
    <xf numFmtId="168" fontId="10" fillId="2" borderId="0" xfId="23" applyFont="1" applyFill="1" applyBorder="1" applyProtection="1">
      <alignment/>
      <protection/>
    </xf>
    <xf numFmtId="168" fontId="4" fillId="0" borderId="0" xfId="22" applyFont="1" applyFill="1" applyBorder="1" applyAlignment="1" applyProtection="1">
      <alignment horizontal="right"/>
      <protection/>
    </xf>
    <xf numFmtId="168" fontId="5" fillId="2" borderId="0" xfId="23" applyFont="1" applyFill="1" applyBorder="1">
      <alignment/>
      <protection/>
    </xf>
    <xf numFmtId="168" fontId="9" fillId="2" borderId="0" xfId="23" applyFont="1" applyFill="1" applyBorder="1">
      <alignment/>
      <protection/>
    </xf>
    <xf numFmtId="168" fontId="4" fillId="2" borderId="0" xfId="22" applyFont="1" applyFill="1" applyAlignment="1" applyProtection="1">
      <alignment horizontal="left"/>
      <protection/>
    </xf>
    <xf numFmtId="4" fontId="3" fillId="2" borderId="0" xfId="0" applyNumberFormat="1" applyFont="1" applyFill="1"/>
    <xf numFmtId="0" fontId="6" fillId="3" borderId="1" xfId="0" applyFont="1" applyFill="1" applyBorder="1" applyAlignment="1">
      <alignment horizontal="left" vertical="center" wrapText="1"/>
    </xf>
    <xf numFmtId="1" fontId="6"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6" fillId="2" borderId="3" xfId="0" applyFont="1" applyFill="1" applyBorder="1" applyAlignment="1">
      <alignment horizontal="left"/>
    </xf>
    <xf numFmtId="4" fontId="6" fillId="2" borderId="3" xfId="0" applyNumberFormat="1" applyFont="1" applyFill="1" applyBorder="1"/>
    <xf numFmtId="167" fontId="6" fillId="2" borderId="3"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7" fontId="6"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0" fontId="6" fillId="3" borderId="4" xfId="0" applyFont="1" applyFill="1" applyBorder="1" applyAlignment="1">
      <alignment horizontal="left"/>
    </xf>
    <xf numFmtId="4" fontId="6" fillId="3" borderId="4" xfId="0" applyNumberFormat="1" applyFont="1" applyFill="1" applyBorder="1"/>
    <xf numFmtId="167" fontId="6" fillId="3" borderId="4" xfId="0" applyNumberFormat="1" applyFont="1" applyFill="1" applyBorder="1" applyAlignment="1">
      <alignment horizontal="right"/>
    </xf>
    <xf numFmtId="167" fontId="6" fillId="2" borderId="0" xfId="0" applyNumberFormat="1" applyFont="1" applyFill="1" applyBorder="1"/>
    <xf numFmtId="4" fontId="4" fillId="2" borderId="0" xfId="0" applyNumberFormat="1" applyFont="1" applyFill="1"/>
    <xf numFmtId="167"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8" fontId="4" fillId="2" borderId="2" xfId="22" applyFont="1" applyFill="1" applyBorder="1" applyAlignment="1" applyProtection="1">
      <alignment horizontal="right"/>
      <protection/>
    </xf>
    <xf numFmtId="168" fontId="4" fillId="2" borderId="0" xfId="22" applyFont="1" applyFill="1" applyProtection="1">
      <alignment/>
      <protection/>
    </xf>
    <xf numFmtId="168" fontId="8" fillId="2" borderId="0" xfId="22" applyFill="1">
      <alignment/>
      <protection/>
    </xf>
    <xf numFmtId="168" fontId="8" fillId="2" borderId="0" xfId="22" applyFont="1" applyFill="1">
      <alignment/>
      <protection/>
    </xf>
    <xf numFmtId="0" fontId="3" fillId="2" borderId="2" xfId="0" applyFont="1" applyFill="1" applyBorder="1"/>
    <xf numFmtId="168" fontId="12" fillId="2" borderId="0" xfId="23" applyFont="1" applyFill="1" applyProtection="1">
      <alignment/>
      <protection locked="0"/>
    </xf>
    <xf numFmtId="168" fontId="4" fillId="2" borderId="0" xfId="23" applyFont="1" applyFill="1" applyProtection="1">
      <alignment/>
      <protection/>
    </xf>
    <xf numFmtId="168"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1" xfId="0" applyNumberFormat="1" applyFont="1" applyFill="1" applyBorder="1" applyAlignment="1">
      <alignment horizontal="left" vertical="center" wrapText="1"/>
    </xf>
    <xf numFmtId="0" fontId="3" fillId="3" borderId="1" xfId="0" applyFont="1" applyFill="1" applyBorder="1"/>
    <xf numFmtId="0" fontId="6" fillId="2" borderId="5" xfId="0" applyFont="1" applyFill="1" applyBorder="1"/>
    <xf numFmtId="4" fontId="6" fillId="2" borderId="5" xfId="0" applyNumberFormat="1" applyFont="1" applyFill="1" applyBorder="1"/>
    <xf numFmtId="0" fontId="4" fillId="2" borderId="5" xfId="0" applyFont="1" applyFill="1" applyBorder="1"/>
    <xf numFmtId="4" fontId="3" fillId="2" borderId="5" xfId="0" applyNumberFormat="1" applyFont="1" applyFill="1" applyBorder="1"/>
    <xf numFmtId="0" fontId="3" fillId="2" borderId="5"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2"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3" xfId="0" applyFont="1" applyFill="1" applyBorder="1"/>
    <xf numFmtId="0" fontId="4" fillId="2" borderId="2" xfId="0" applyFont="1" applyFill="1" applyBorder="1"/>
    <xf numFmtId="172" fontId="4" fillId="2" borderId="2" xfId="0" applyNumberFormat="1" applyFont="1" applyFill="1" applyBorder="1" applyAlignment="1">
      <alignment horizontal="right"/>
    </xf>
    <xf numFmtId="0" fontId="6" fillId="3" borderId="3" xfId="0" applyFont="1" applyFill="1" applyBorder="1"/>
    <xf numFmtId="165" fontId="6" fillId="2" borderId="0" xfId="0" applyNumberFormat="1" applyFont="1" applyFill="1" applyBorder="1" applyAlignment="1">
      <alignment horizontal="right"/>
    </xf>
    <xf numFmtId="168" fontId="5" fillId="2" borderId="1" xfId="23" applyNumberFormat="1" applyFont="1" applyFill="1" applyBorder="1" applyProtection="1">
      <alignment/>
      <protection locked="0"/>
    </xf>
    <xf numFmtId="168" fontId="10" fillId="0" borderId="2" xfId="22" applyFont="1" applyFill="1" applyBorder="1" applyAlignment="1" applyProtection="1">
      <alignment horizontal="right"/>
      <protection/>
    </xf>
    <xf numFmtId="168" fontId="10" fillId="2" borderId="2" xfId="22" applyFont="1" applyFill="1" applyBorder="1" applyAlignment="1" applyProtection="1">
      <alignment horizontal="right"/>
      <protection/>
    </xf>
    <xf numFmtId="168" fontId="10" fillId="2" borderId="2" xfId="22" applyFont="1" applyFill="1" applyBorder="1" applyAlignment="1" applyProtection="1">
      <alignment/>
      <protection/>
    </xf>
    <xf numFmtId="168" fontId="9" fillId="2" borderId="0" xfId="23" applyNumberFormat="1" applyFont="1" applyFill="1" applyBorder="1" applyProtection="1">
      <alignment/>
      <protection locked="0"/>
    </xf>
    <xf numFmtId="168" fontId="5" fillId="3" borderId="1" xfId="23" applyFont="1" applyFill="1" applyBorder="1">
      <alignment/>
      <protection/>
    </xf>
    <xf numFmtId="168" fontId="10" fillId="3" borderId="1"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2" xfId="0" applyFont="1" applyFill="1" applyBorder="1" applyAlignment="1">
      <alignment horizontal="left"/>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9" fillId="2" borderId="0" xfId="22" applyNumberFormat="1" applyFont="1" applyFill="1" applyAlignment="1" applyProtection="1">
      <alignment horizontal="center"/>
      <protection/>
    </xf>
    <xf numFmtId="0" fontId="3" fillId="2" borderId="1" xfId="0" applyFont="1" applyFill="1" applyBorder="1"/>
    <xf numFmtId="169" fontId="13" fillId="2" borderId="0" xfId="23" applyNumberFormat="1" applyFont="1" applyFill="1" applyBorder="1" applyAlignment="1" applyProtection="1" quotePrefix="1">
      <alignment horizontal="right"/>
      <protection locked="0"/>
    </xf>
    <xf numFmtId="0" fontId="0" fillId="0" borderId="2" xfId="0" applyBorder="1"/>
    <xf numFmtId="168" fontId="4" fillId="2" borderId="0" xfId="23" applyFont="1" applyFill="1" applyBorder="1">
      <alignment/>
      <protection/>
    </xf>
    <xf numFmtId="168" fontId="4" fillId="2" borderId="0" xfId="23" applyFont="1" applyFill="1" applyBorder="1" applyProtection="1">
      <alignment/>
      <protection/>
    </xf>
    <xf numFmtId="168" fontId="4" fillId="2" borderId="0" xfId="23" applyFont="1" applyFill="1" applyBorder="1" applyAlignment="1" applyProtection="1">
      <alignment/>
      <protection/>
    </xf>
    <xf numFmtId="169" fontId="12" fillId="2" borderId="0" xfId="23" applyNumberFormat="1" applyFont="1" applyFill="1" applyBorder="1" applyAlignment="1" applyProtection="1" quotePrefix="1">
      <alignment horizontal="center"/>
      <protection locked="0"/>
    </xf>
    <xf numFmtId="168" fontId="3" fillId="2" borderId="0" xfId="22" applyFont="1" applyFill="1" applyProtection="1">
      <alignment/>
      <protection/>
    </xf>
    <xf numFmtId="37" fontId="3" fillId="2" borderId="0" xfId="24" applyFont="1" applyFill="1" applyProtection="1">
      <alignment/>
      <protection/>
    </xf>
    <xf numFmtId="168" fontId="5" fillId="2" borderId="0" xfId="22" applyFont="1" applyFill="1" applyProtection="1">
      <alignment/>
      <protection/>
    </xf>
    <xf numFmtId="4" fontId="2" fillId="2" borderId="0" xfId="22" applyNumberFormat="1" applyFont="1" applyFill="1" applyBorder="1" applyProtection="1">
      <alignment/>
      <protection/>
    </xf>
    <xf numFmtId="168" fontId="2" fillId="2" borderId="0" xfId="22" applyNumberFormat="1" applyFont="1" applyFill="1" applyBorder="1" applyProtection="1">
      <alignment/>
      <protection/>
    </xf>
    <xf numFmtId="171" fontId="4" fillId="2" borderId="0" xfId="0" applyNumberFormat="1" applyFont="1" applyFill="1" applyBorder="1" applyAlignment="1">
      <alignment horizontal="right"/>
    </xf>
    <xf numFmtId="0" fontId="0" fillId="2" borderId="2" xfId="0" applyFill="1" applyBorder="1"/>
    <xf numFmtId="0" fontId="4" fillId="4" borderId="4" xfId="0" applyFont="1" applyFill="1" applyBorder="1" applyAlignment="1">
      <alignment/>
    </xf>
    <xf numFmtId="0" fontId="9" fillId="3" borderId="1" xfId="0" applyFont="1" applyFill="1" applyBorder="1" applyAlignment="1">
      <alignment vertical="center" wrapText="1"/>
    </xf>
    <xf numFmtId="0" fontId="4" fillId="4" borderId="2" xfId="0" applyFont="1" applyFill="1" applyBorder="1" applyAlignment="1">
      <alignment/>
    </xf>
    <xf numFmtId="0" fontId="6" fillId="4" borderId="2" xfId="0" applyFont="1" applyFill="1" applyBorder="1" applyAlignment="1">
      <alignment/>
    </xf>
    <xf numFmtId="171" fontId="4" fillId="2" borderId="2" xfId="0" applyNumberFormat="1" applyFont="1" applyFill="1" applyBorder="1" applyAlignment="1">
      <alignment horizontal="right"/>
    </xf>
    <xf numFmtId="165" fontId="4" fillId="2" borderId="4" xfId="0" applyNumberFormat="1" applyFont="1" applyFill="1" applyBorder="1" applyAlignment="1">
      <alignment horizontal="right"/>
    </xf>
    <xf numFmtId="0" fontId="6" fillId="2" borderId="6" xfId="0" applyFont="1" applyFill="1" applyBorder="1"/>
    <xf numFmtId="0" fontId="4" fillId="2" borderId="7" xfId="0" applyFont="1" applyFill="1" applyBorder="1"/>
    <xf numFmtId="168" fontId="6" fillId="2" borderId="0" xfId="22" applyFont="1" applyFill="1" applyProtection="1">
      <alignment/>
      <protection/>
    </xf>
    <xf numFmtId="168" fontId="6" fillId="3" borderId="1" xfId="22" applyFont="1" applyFill="1" applyBorder="1" applyAlignment="1" applyProtection="1">
      <alignment horizontal="centerContinuous"/>
      <protection/>
    </xf>
    <xf numFmtId="168" fontId="4" fillId="3" borderId="1" xfId="22" applyFont="1" applyFill="1" applyBorder="1" applyAlignment="1" applyProtection="1">
      <alignment horizontal="centerContinuous"/>
      <protection/>
    </xf>
    <xf numFmtId="0" fontId="6" fillId="2" borderId="0" xfId="0" applyFont="1" applyFill="1" applyBorder="1" applyAlignment="1">
      <alignment horizontal="left" vertical="center" wrapText="1"/>
    </xf>
    <xf numFmtId="168" fontId="6" fillId="2" borderId="6" xfId="22" applyFont="1" applyFill="1" applyBorder="1" applyAlignment="1" applyProtection="1">
      <alignment horizontal="center"/>
      <protection/>
    </xf>
    <xf numFmtId="168" fontId="4" fillId="2" borderId="0" xfId="22" applyFont="1" applyFill="1" applyBorder="1" applyAlignment="1" applyProtection="1">
      <alignment horizontal="center"/>
      <protection/>
    </xf>
    <xf numFmtId="4" fontId="4" fillId="2" borderId="0" xfId="22" applyNumberFormat="1" applyFont="1" applyFill="1" applyBorder="1" applyProtection="1">
      <alignment/>
      <protection locked="0"/>
    </xf>
    <xf numFmtId="4" fontId="4" fillId="2" borderId="7" xfId="22" applyNumberFormat="1" applyFont="1" applyFill="1" applyBorder="1" applyProtection="1">
      <alignment/>
      <protection locked="0"/>
    </xf>
    <xf numFmtId="170" fontId="4" fillId="2" borderId="0" xfId="22" applyNumberFormat="1" applyFont="1" applyFill="1" applyBorder="1" applyAlignment="1" applyProtection="1">
      <alignment horizontal="right"/>
      <protection/>
    </xf>
    <xf numFmtId="170" fontId="6" fillId="3" borderId="4" xfId="22" applyNumberFormat="1" applyFont="1" applyFill="1" applyBorder="1" applyAlignment="1" applyProtection="1">
      <alignment horizontal="right"/>
      <protection/>
    </xf>
    <xf numFmtId="168" fontId="6" fillId="2" borderId="0" xfId="22" applyFont="1" applyFill="1" applyBorder="1" applyAlignment="1" applyProtection="1">
      <alignment horizontal="left"/>
      <protection/>
    </xf>
    <xf numFmtId="4" fontId="6" fillId="2" borderId="0" xfId="22" applyNumberFormat="1" applyFont="1" applyFill="1" applyBorder="1" applyProtection="1">
      <alignment/>
      <protection/>
    </xf>
    <xf numFmtId="4" fontId="6" fillId="2" borderId="7" xfId="22" applyNumberFormat="1" applyFont="1" applyFill="1" applyBorder="1" applyProtection="1">
      <alignment/>
      <protection/>
    </xf>
    <xf numFmtId="168" fontId="6" fillId="2" borderId="0" xfId="22" applyNumberFormat="1" applyFont="1" applyFill="1" applyBorder="1" applyProtection="1">
      <alignment/>
      <protection/>
    </xf>
    <xf numFmtId="168" fontId="2" fillId="2" borderId="0" xfId="22" applyFont="1" applyFill="1" applyBorder="1" applyAlignment="1" applyProtection="1">
      <alignment horizontal="left"/>
      <protection/>
    </xf>
    <xf numFmtId="4" fontId="2" fillId="2" borderId="0" xfId="22" applyNumberFormat="1" applyFont="1" applyFill="1" applyBorder="1" applyProtection="1">
      <alignment/>
      <protection locked="0"/>
    </xf>
    <xf numFmtId="168" fontId="6" fillId="2" borderId="7" xfId="22" applyFont="1" applyFill="1" applyBorder="1" applyAlignment="1" applyProtection="1">
      <alignment horizontal="center"/>
      <protection/>
    </xf>
    <xf numFmtId="168" fontId="6" fillId="3" borderId="1" xfId="22" applyFont="1" applyFill="1" applyBorder="1" applyAlignment="1" applyProtection="1">
      <alignment vertical="justify"/>
      <protection/>
    </xf>
    <xf numFmtId="0" fontId="4" fillId="3" borderId="1" xfId="0" applyFont="1" applyFill="1" applyBorder="1"/>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center" vertical="justify"/>
      <protection/>
    </xf>
    <xf numFmtId="0" fontId="6" fillId="2" borderId="0"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xf numFmtId="4" fontId="4" fillId="2" borderId="3" xfId="22" applyNumberFormat="1" applyFont="1" applyFill="1" applyBorder="1" applyProtection="1">
      <alignment/>
      <protection locked="0"/>
    </xf>
    <xf numFmtId="4" fontId="6" fillId="2" borderId="3" xfId="22" applyNumberFormat="1" applyFont="1" applyFill="1" applyBorder="1" applyProtection="1">
      <alignment/>
      <protection/>
    </xf>
    <xf numFmtId="0" fontId="14" fillId="2" borderId="0" xfId="0" applyFont="1" applyFill="1" applyBorder="1"/>
    <xf numFmtId="0" fontId="6" fillId="2" borderId="3" xfId="0" applyFont="1" applyFill="1" applyBorder="1" applyAlignment="1">
      <alignment/>
    </xf>
    <xf numFmtId="0" fontId="4" fillId="2" borderId="0" xfId="0" applyFont="1" applyFill="1" applyBorder="1" applyAlignment="1">
      <alignment/>
    </xf>
    <xf numFmtId="4" fontId="6" fillId="2" borderId="7" xfId="22" applyNumberFormat="1" applyFont="1" applyFill="1" applyBorder="1" applyProtection="1">
      <alignment/>
      <protection locked="0"/>
    </xf>
    <xf numFmtId="4" fontId="6" fillId="3" borderId="4" xfId="22" applyNumberFormat="1" applyFont="1" applyFill="1" applyBorder="1" applyProtection="1">
      <alignment/>
      <protection/>
    </xf>
    <xf numFmtId="0" fontId="15" fillId="2" borderId="0" xfId="0" applyFont="1" applyFill="1"/>
    <xf numFmtId="164" fontId="4" fillId="2" borderId="2" xfId="0" applyNumberFormat="1" applyFont="1" applyFill="1" applyBorder="1" applyAlignment="1">
      <alignment horizontal="right"/>
    </xf>
    <xf numFmtId="1" fontId="10" fillId="2" borderId="2" xfId="22" applyNumberFormat="1" applyFont="1" applyFill="1" applyBorder="1" applyAlignment="1" applyProtection="1">
      <alignment horizontal="left"/>
      <protection/>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3" fillId="2" borderId="16" xfId="0" applyFont="1" applyFill="1" applyBorder="1"/>
    <xf numFmtId="4" fontId="17"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6" fillId="3" borderId="1" xfId="0" applyFont="1" applyFill="1" applyBorder="1" applyAlignment="1">
      <alignment horizontal="right" vertical="center" wrapText="1"/>
    </xf>
    <xf numFmtId="0" fontId="6" fillId="2" borderId="6" xfId="0" applyFont="1" applyFill="1" applyBorder="1" applyAlignment="1">
      <alignment/>
    </xf>
    <xf numFmtId="4" fontId="6"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6" fillId="3" borderId="1" xfId="22" applyFont="1" applyFill="1" applyBorder="1" applyAlignment="1" applyProtection="1">
      <alignment/>
      <protection/>
    </xf>
    <xf numFmtId="168" fontId="2" fillId="2" borderId="6" xfId="22" applyFont="1" applyFill="1" applyBorder="1" applyAlignment="1" applyProtection="1">
      <alignment horizontal="center" wrapText="1"/>
      <protection/>
    </xf>
    <xf numFmtId="0" fontId="6" fillId="3" borderId="4" xfId="0" applyFont="1" applyFill="1" applyBorder="1" applyAlignment="1">
      <alignment/>
    </xf>
    <xf numFmtId="0" fontId="6" fillId="2" borderId="3" xfId="0" applyFont="1" applyFill="1" applyBorder="1" applyAlignment="1">
      <alignment horizontal="right"/>
    </xf>
    <xf numFmtId="0" fontId="6" fillId="3" borderId="4" xfId="0" applyFont="1" applyFill="1" applyBorder="1" applyAlignment="1">
      <alignment horizontal="right" wrapText="1"/>
    </xf>
    <xf numFmtId="0" fontId="6"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4" fontId="4" fillId="2" borderId="27" xfId="22" applyNumberFormat="1" applyFont="1" applyFill="1" applyBorder="1" applyProtection="1">
      <alignment/>
      <protection locked="0"/>
    </xf>
    <xf numFmtId="168" fontId="6" fillId="2" borderId="6" xfId="22" applyFont="1" applyFill="1" applyBorder="1" applyAlignment="1" applyProtection="1">
      <alignment horizontal="left"/>
      <protection/>
    </xf>
    <xf numFmtId="168" fontId="6" fillId="2" borderId="28" xfId="22" applyFont="1" applyFill="1" applyBorder="1" applyAlignment="1" applyProtection="1">
      <alignment/>
      <protection/>
    </xf>
    <xf numFmtId="1" fontId="6" fillId="2" borderId="0" xfId="22" applyNumberFormat="1" applyFont="1" applyFill="1" applyAlignment="1" applyProtection="1">
      <alignment horizontal="right"/>
      <protection/>
    </xf>
    <xf numFmtId="1" fontId="6" fillId="2" borderId="0" xfId="0" applyNumberFormat="1" applyFont="1" applyFill="1"/>
    <xf numFmtId="0" fontId="0" fillId="2" borderId="7" xfId="0" applyFill="1" applyBorder="1"/>
    <xf numFmtId="1" fontId="4" fillId="2" borderId="0" xfId="0" applyNumberFormat="1" applyFont="1" applyFill="1" applyBorder="1" applyAlignment="1" applyProtection="1">
      <alignment horizontal="left"/>
      <protection locked="0"/>
    </xf>
    <xf numFmtId="168" fontId="6" fillId="3" borderId="1" xfId="23" applyFont="1" applyFill="1" applyBorder="1" applyAlignment="1" applyProtection="1">
      <alignment vertical="center"/>
      <protection/>
    </xf>
    <xf numFmtId="165" fontId="0" fillId="2" borderId="0" xfId="0" applyNumberFormat="1" applyFill="1"/>
    <xf numFmtId="165" fontId="4" fillId="2" borderId="0" xfId="0" applyNumberFormat="1" applyFont="1" applyFill="1"/>
    <xf numFmtId="165" fontId="4" fillId="2" borderId="0" xfId="0" applyNumberFormat="1" applyFont="1" applyFill="1" applyBorder="1" applyAlignment="1">
      <alignment horizontal="center"/>
    </xf>
    <xf numFmtId="0" fontId="0" fillId="0" borderId="0" xfId="0" applyAlignment="1">
      <alignment shrinkToFit="1"/>
    </xf>
    <xf numFmtId="4" fontId="6" fillId="2" borderId="3" xfId="0" applyNumberFormat="1" applyFont="1" applyFill="1" applyBorder="1" applyAlignment="1">
      <alignment horizontal="right"/>
    </xf>
    <xf numFmtId="4" fontId="6" fillId="2" borderId="0" xfId="0" applyNumberFormat="1" applyFont="1" applyFill="1" applyBorder="1" applyAlignment="1">
      <alignment horizontal="right"/>
    </xf>
    <xf numFmtId="4" fontId="6" fillId="3" borderId="4" xfId="0" applyNumberFormat="1" applyFont="1" applyFill="1" applyBorder="1" applyAlignment="1">
      <alignment horizontal="right"/>
    </xf>
    <xf numFmtId="4" fontId="6" fillId="3" borderId="3" xfId="0" applyNumberFormat="1" applyFont="1" applyFill="1" applyBorder="1" applyAlignment="1">
      <alignment horizontal="right"/>
    </xf>
    <xf numFmtId="4" fontId="6" fillId="2" borderId="5" xfId="0" applyNumberFormat="1" applyFont="1" applyFill="1" applyBorder="1" applyAlignment="1">
      <alignment horizontal="right"/>
    </xf>
    <xf numFmtId="4" fontId="4" fillId="2" borderId="0"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locked="0"/>
    </xf>
    <xf numFmtId="4" fontId="4" fillId="2" borderId="2" xfId="22" applyNumberFormat="1" applyFont="1" applyFill="1" applyBorder="1" applyAlignment="1" applyProtection="1">
      <alignment horizontal="right"/>
      <protection locked="0"/>
    </xf>
    <xf numFmtId="4" fontId="4" fillId="2" borderId="7" xfId="22" applyNumberFormat="1" applyFont="1" applyFill="1" applyBorder="1" applyAlignment="1" applyProtection="1">
      <alignment horizontal="right"/>
      <protection locked="0"/>
    </xf>
    <xf numFmtId="4" fontId="4" fillId="2" borderId="3" xfId="22" applyNumberFormat="1" applyFont="1" applyFill="1" applyBorder="1" applyAlignment="1" applyProtection="1">
      <alignment horizontal="right"/>
      <protection locked="0"/>
    </xf>
    <xf numFmtId="4" fontId="6" fillId="2" borderId="3" xfId="22" applyNumberFormat="1" applyFont="1" applyFill="1" applyBorder="1" applyAlignment="1" applyProtection="1">
      <alignment horizontal="right"/>
      <protection/>
    </xf>
    <xf numFmtId="4" fontId="6" fillId="2" borderId="7"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xf>
    <xf numFmtId="166" fontId="6" fillId="3" borderId="4" xfId="22" applyNumberFormat="1" applyFont="1" applyFill="1" applyBorder="1" applyAlignment="1" applyProtection="1">
      <alignment horizontal="right"/>
      <protection locked="0"/>
    </xf>
    <xf numFmtId="4" fontId="6" fillId="2" borderId="6" xfId="0" applyNumberFormat="1" applyFont="1" applyFill="1" applyBorder="1" applyAlignment="1">
      <alignment horizontal="right"/>
    </xf>
    <xf numFmtId="4" fontId="6" fillId="3" borderId="4" xfId="0" applyNumberFormat="1" applyFont="1" applyFill="1" applyBorder="1" applyAlignment="1">
      <alignment horizontal="right" wrapText="1"/>
    </xf>
    <xf numFmtId="0" fontId="4" fillId="2" borderId="0" xfId="0" applyFont="1" applyFill="1" applyAlignment="1">
      <alignment horizontal="right"/>
    </xf>
    <xf numFmtId="168" fontId="6" fillId="2" borderId="0" xfId="23" applyFont="1" applyFill="1" applyBorder="1">
      <alignment/>
      <protection/>
    </xf>
    <xf numFmtId="4" fontId="4" fillId="2" borderId="0" xfId="0" applyNumberFormat="1" applyFont="1" applyFill="1" applyBorder="1" applyAlignment="1">
      <alignment horizontal="center"/>
    </xf>
    <xf numFmtId="173" fontId="4" fillId="2" borderId="0" xfId="0" applyNumberFormat="1" applyFont="1" applyFill="1" applyBorder="1" applyAlignment="1">
      <alignment horizontal="right"/>
    </xf>
    <xf numFmtId="0" fontId="6" fillId="2" borderId="7" xfId="0" applyFont="1" applyFill="1" applyBorder="1" applyAlignment="1">
      <alignment horizontal="left"/>
    </xf>
    <xf numFmtId="4" fontId="6" fillId="2" borderId="7" xfId="0" applyNumberFormat="1" applyFont="1" applyFill="1" applyBorder="1" applyAlignment="1">
      <alignment horizontal="right"/>
    </xf>
    <xf numFmtId="167" fontId="6" fillId="2" borderId="7" xfId="0" applyNumberFormat="1" applyFont="1" applyFill="1" applyBorder="1" applyAlignment="1">
      <alignment horizontal="right"/>
    </xf>
    <xf numFmtId="0" fontId="6" fillId="2" borderId="6" xfId="0" applyFont="1" applyFill="1" applyBorder="1" applyAlignment="1">
      <alignment horizontal="left"/>
    </xf>
    <xf numFmtId="167" fontId="6" fillId="2" borderId="6" xfId="0" applyNumberFormat="1" applyFont="1" applyFill="1" applyBorder="1" applyAlignment="1">
      <alignment horizontal="right"/>
    </xf>
    <xf numFmtId="0" fontId="4" fillId="2" borderId="6" xfId="0" applyFont="1" applyFill="1" applyBorder="1"/>
    <xf numFmtId="0" fontId="4" fillId="2" borderId="0" xfId="0" applyFont="1" applyFill="1" applyBorder="1" applyAlignment="1">
      <alignment horizontal="justify" vertical="center" wrapText="1" readingOrder="1"/>
    </xf>
    <xf numFmtId="168" fontId="10" fillId="2" borderId="2" xfId="22" applyFont="1" applyFill="1" applyBorder="1" applyAlignment="1" applyProtection="1">
      <alignment horizontal="right"/>
      <protection/>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xf>
    <xf numFmtId="168" fontId="6" fillId="3" borderId="4" xfId="22" applyFont="1" applyFill="1" applyBorder="1" applyAlignment="1" applyProtection="1">
      <alignment horizontal="left"/>
      <protection/>
    </xf>
    <xf numFmtId="168" fontId="6" fillId="2" borderId="0" xfId="22" applyFont="1" applyFill="1" applyBorder="1" applyAlignment="1" applyProtection="1">
      <alignment horizontal="center"/>
      <protection/>
    </xf>
    <xf numFmtId="168" fontId="6" fillId="3" borderId="1" xfId="22" applyFont="1" applyFill="1" applyBorder="1" applyAlignment="1" applyProtection="1">
      <alignment horizontal="center"/>
      <protection/>
    </xf>
    <xf numFmtId="0" fontId="6" fillId="3" borderId="1" xfId="0" applyFont="1" applyFill="1" applyBorder="1" applyAlignment="1">
      <alignment horizontal="left" vertical="center" wrapText="1"/>
    </xf>
    <xf numFmtId="168" fontId="6" fillId="2" borderId="29" xfId="22" applyFont="1" applyFill="1" applyBorder="1" applyAlignment="1" applyProtection="1">
      <alignment horizontal="center"/>
      <protection/>
    </xf>
    <xf numFmtId="168" fontId="6" fillId="2" borderId="6" xfId="22" applyFont="1" applyFill="1" applyBorder="1" applyAlignment="1" applyProtection="1">
      <alignment horizontal="center"/>
      <protection/>
    </xf>
    <xf numFmtId="168" fontId="6" fillId="2" borderId="30" xfId="22" applyFont="1" applyFill="1" applyBorder="1" applyAlignment="1" applyProtection="1">
      <alignment horizontal="center"/>
      <protection/>
    </xf>
    <xf numFmtId="168" fontId="6" fillId="2" borderId="0" xfId="22" applyFont="1" applyFill="1" applyBorder="1" applyAlignment="1" applyProtection="1">
      <alignment horizontal="left"/>
      <protection/>
    </xf>
    <xf numFmtId="168" fontId="6" fillId="2" borderId="6" xfId="22" applyFont="1" applyFill="1" applyBorder="1" applyAlignment="1" applyProtection="1">
      <alignment horizontal="left"/>
      <protection/>
    </xf>
    <xf numFmtId="168" fontId="6" fillId="3" borderId="31" xfId="22" applyFont="1" applyFill="1" applyBorder="1" applyAlignment="1" applyProtection="1">
      <alignment horizontal="left" vertical="center"/>
      <protection/>
    </xf>
    <xf numFmtId="0" fontId="6" fillId="2" borderId="3" xfId="0" applyFont="1" applyFill="1" applyBorder="1" applyAlignment="1">
      <alignment horizontal="left"/>
    </xf>
    <xf numFmtId="0" fontId="6" fillId="3" borderId="4" xfId="0" applyFont="1" applyFill="1" applyBorder="1" applyAlignment="1">
      <alignment horizontal="left"/>
    </xf>
    <xf numFmtId="0" fontId="4" fillId="2" borderId="2" xfId="0" applyFont="1" applyFill="1" applyBorder="1" applyAlignment="1">
      <alignment horizontal="left"/>
    </xf>
    <xf numFmtId="0" fontId="4" fillId="2" borderId="6" xfId="0" applyFont="1" applyFill="1" applyBorder="1" applyAlignment="1">
      <alignment horizontal="left"/>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 name="Normal_E. de liquidación del presupu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126"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150"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174"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1</xdr:row>
      <xdr:rowOff>114300</xdr:rowOff>
    </xdr:to>
    <xdr:pic>
      <xdr:nvPicPr>
        <xdr:cNvPr id="6246"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57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199"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222"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1995\21500_X110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5\21501_X112_19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5\21502_X111_19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1995\21503_X111_19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6\21502_X111_1996.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1996\21500_X110_1996.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996\21501_X111_1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1996\21503_X110_19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row r="3">
          <cell r="L3" t="str">
            <v>203.486.717,63</v>
          </cell>
        </row>
        <row r="4">
          <cell r="D4" t="str">
            <v>0,00</v>
          </cell>
          <cell r="L4" t="str">
            <v>180.368.720,93</v>
          </cell>
        </row>
        <row r="5">
          <cell r="L5" t="str">
            <v>180.368.720,93</v>
          </cell>
        </row>
        <row r="6">
          <cell r="L6" t="str">
            <v>0,00</v>
          </cell>
        </row>
        <row r="7">
          <cell r="L7" t="str">
            <v>0,00</v>
          </cell>
        </row>
        <row r="8">
          <cell r="L8" t="str">
            <v>0,00</v>
          </cell>
        </row>
        <row r="9">
          <cell r="L9" t="str">
            <v>0,00</v>
          </cell>
        </row>
        <row r="10">
          <cell r="D10" t="str">
            <v>349.170,00</v>
          </cell>
          <cell r="L10" t="str">
            <v>0,00</v>
          </cell>
        </row>
        <row r="11">
          <cell r="D11" t="str">
            <v>0,00</v>
          </cell>
          <cell r="L11" t="str">
            <v>0,00</v>
          </cell>
        </row>
        <row r="12">
          <cell r="D12" t="str">
            <v>0,00</v>
          </cell>
          <cell r="L12" t="str">
            <v>0,00</v>
          </cell>
        </row>
        <row r="13">
          <cell r="D13" t="str">
            <v>436.244,64</v>
          </cell>
        </row>
        <row r="14">
          <cell r="D14" t="str">
            <v>0,00</v>
          </cell>
        </row>
        <row r="15">
          <cell r="D15" t="str">
            <v>0,00</v>
          </cell>
          <cell r="L15" t="str">
            <v>23.117.996,71</v>
          </cell>
        </row>
        <row r="16">
          <cell r="D16" t="str">
            <v>-87.074,63</v>
          </cell>
          <cell r="L16" t="str">
            <v>0,00</v>
          </cell>
        </row>
        <row r="17">
          <cell r="D17" t="str">
            <v>0,00</v>
          </cell>
          <cell r="L17" t="str">
            <v>0,00</v>
          </cell>
        </row>
        <row r="18">
          <cell r="D18" t="str">
            <v>176.432.933,06</v>
          </cell>
          <cell r="L18" t="str">
            <v>0,00</v>
          </cell>
        </row>
        <row r="19">
          <cell r="D19" t="str">
            <v>185.429.627,49</v>
          </cell>
          <cell r="L19" t="str">
            <v>0,00</v>
          </cell>
        </row>
        <row r="20">
          <cell r="D20" t="str">
            <v>6.692.696,50</v>
          </cell>
        </row>
        <row r="21">
          <cell r="D21" t="str">
            <v>19.340.611,59</v>
          </cell>
        </row>
        <row r="22">
          <cell r="D22" t="str">
            <v>52.291.821,43</v>
          </cell>
        </row>
        <row r="23">
          <cell r="D23" t="str">
            <v>-87.321.823,95</v>
          </cell>
        </row>
        <row r="24">
          <cell r="D24" t="str">
            <v>0,00</v>
          </cell>
          <cell r="L24" t="str">
            <v>0,00</v>
          </cell>
        </row>
        <row r="25">
          <cell r="D25" t="str">
            <v>62.751,67</v>
          </cell>
          <cell r="L25" t="str">
            <v>0,00</v>
          </cell>
        </row>
        <row r="26">
          <cell r="D26" t="str">
            <v>62.751,67</v>
          </cell>
          <cell r="L26" t="str">
            <v>0,00</v>
          </cell>
        </row>
        <row r="27">
          <cell r="D27" t="str">
            <v>0,00</v>
          </cell>
          <cell r="L27" t="str">
            <v>0,00</v>
          </cell>
        </row>
        <row r="28">
          <cell r="D28" t="str">
            <v>0,00</v>
          </cell>
          <cell r="L28" t="str">
            <v>0,00</v>
          </cell>
        </row>
        <row r="29">
          <cell r="D29" t="str">
            <v>0,00</v>
          </cell>
          <cell r="L29" t="str">
            <v>0,00</v>
          </cell>
        </row>
        <row r="30">
          <cell r="D30" t="str">
            <v>0,00</v>
          </cell>
        </row>
        <row r="31">
          <cell r="L31" t="str">
            <v>0,00</v>
          </cell>
        </row>
        <row r="32">
          <cell r="D32" t="str">
            <v>0,00</v>
          </cell>
        </row>
        <row r="37">
          <cell r="L37" t="str">
            <v>10.218.612,14</v>
          </cell>
        </row>
        <row r="38">
          <cell r="L38" t="str">
            <v>0,00</v>
          </cell>
        </row>
        <row r="39">
          <cell r="D39" t="str">
            <v>51.823.620,98</v>
          </cell>
          <cell r="L39" t="str">
            <v>13.729.340,21</v>
          </cell>
        </row>
        <row r="40">
          <cell r="D40" t="str">
            <v>45.891.499,28</v>
          </cell>
          <cell r="L40" t="str">
            <v>9.352.848,20</v>
          </cell>
        </row>
        <row r="41">
          <cell r="D41" t="str">
            <v>5.924.200,35</v>
          </cell>
          <cell r="L41" t="str">
            <v>3.498.311,16</v>
          </cell>
        </row>
        <row r="42">
          <cell r="D42" t="str">
            <v>0,00</v>
          </cell>
          <cell r="L42" t="str">
            <v>0,00</v>
          </cell>
        </row>
        <row r="43">
          <cell r="D43" t="str">
            <v>6.022,14</v>
          </cell>
          <cell r="L43" t="str">
            <v>755.003,43</v>
          </cell>
        </row>
        <row r="44">
          <cell r="D44" t="str">
            <v>1.899,20</v>
          </cell>
          <cell r="L44" t="str">
            <v>67.373,46</v>
          </cell>
        </row>
        <row r="45">
          <cell r="D45" t="str">
            <v>0,00</v>
          </cell>
          <cell r="L45" t="str">
            <v>55.803,97</v>
          </cell>
        </row>
        <row r="46">
          <cell r="D46" t="str">
            <v>3.455,82</v>
          </cell>
          <cell r="L46" t="str">
            <v>11.416.020,58</v>
          </cell>
        </row>
        <row r="47">
          <cell r="D47" t="str">
            <v>0,00</v>
          </cell>
          <cell r="L47" t="str">
            <v>0,00</v>
          </cell>
        </row>
        <row r="48">
          <cell r="D48" t="str">
            <v>0,00</v>
          </cell>
          <cell r="L48" t="str">
            <v>0,00</v>
          </cell>
        </row>
        <row r="49">
          <cell r="D49" t="str">
            <v>3.455,82</v>
          </cell>
        </row>
        <row r="50">
          <cell r="D50" t="str">
            <v>0,00</v>
          </cell>
        </row>
        <row r="51">
          <cell r="D51" t="str">
            <v>10.178.759,03</v>
          </cell>
        </row>
        <row r="52">
          <cell r="D52" t="str">
            <v>0,00</v>
          </cell>
        </row>
      </sheetData>
      <sheetData sheetId="2"/>
      <sheetData sheetId="3">
        <row r="4">
          <cell r="D4" t="str">
            <v>0,00</v>
          </cell>
          <cell r="L4" t="str">
            <v>1.850.263,84</v>
          </cell>
        </row>
        <row r="5">
          <cell r="D5" t="str">
            <v>0,00</v>
          </cell>
        </row>
        <row r="8">
          <cell r="L8" t="str">
            <v>0,00</v>
          </cell>
        </row>
        <row r="10">
          <cell r="D10" t="str">
            <v>92.046.560,41</v>
          </cell>
          <cell r="L10" t="str">
            <v>23.301.377,52</v>
          </cell>
        </row>
        <row r="11">
          <cell r="L11" t="str">
            <v>295.090,93</v>
          </cell>
        </row>
        <row r="12">
          <cell r="L12" t="str">
            <v>0,00</v>
          </cell>
        </row>
        <row r="13">
          <cell r="D13" t="str">
            <v>222,37</v>
          </cell>
          <cell r="L13" t="str">
            <v>209.771,25</v>
          </cell>
        </row>
        <row r="14">
          <cell r="D14" t="str">
            <v>10.015.782,58</v>
          </cell>
          <cell r="L14" t="str">
            <v>209.771,25</v>
          </cell>
        </row>
        <row r="15">
          <cell r="D15" t="str">
            <v>0,00</v>
          </cell>
          <cell r="L15" t="str">
            <v>0,00</v>
          </cell>
        </row>
        <row r="16">
          <cell r="L16" t="str">
            <v>0,00</v>
          </cell>
        </row>
        <row r="17">
          <cell r="L17" t="str">
            <v>0,00</v>
          </cell>
        </row>
        <row r="18">
          <cell r="D18" t="str">
            <v>24.607.154,45</v>
          </cell>
          <cell r="L18" t="str">
            <v>956.114,10</v>
          </cell>
        </row>
        <row r="19">
          <cell r="D19" t="str">
            <v>24.462.394,67</v>
          </cell>
        </row>
        <row r="20">
          <cell r="D20" t="str">
            <v>144.759,78</v>
          </cell>
        </row>
        <row r="21">
          <cell r="D21" t="str">
            <v>0,00</v>
          </cell>
          <cell r="L21" t="str">
            <v>0,00</v>
          </cell>
        </row>
        <row r="22">
          <cell r="D22" t="str">
            <v>378.908,08</v>
          </cell>
        </row>
        <row r="23">
          <cell r="L23" t="str">
            <v>83.928.509,61</v>
          </cell>
        </row>
        <row r="24">
          <cell r="L24" t="str">
            <v>4.866.569,30</v>
          </cell>
        </row>
        <row r="25">
          <cell r="D25" t="str">
            <v>0,00</v>
          </cell>
          <cell r="L25" t="str">
            <v>0,00</v>
          </cell>
        </row>
        <row r="26">
          <cell r="D26" t="str">
            <v>0,00</v>
          </cell>
          <cell r="L26" t="str">
            <v>31.374.532,71</v>
          </cell>
        </row>
        <row r="27">
          <cell r="L27" t="str">
            <v>4.559.127,57</v>
          </cell>
        </row>
        <row r="28">
          <cell r="D28" t="str">
            <v>890.399,43</v>
          </cell>
          <cell r="L28" t="str">
            <v>0,00</v>
          </cell>
        </row>
        <row r="29">
          <cell r="D29" t="str">
            <v>0,00</v>
          </cell>
          <cell r="L29" t="str">
            <v>0,00</v>
          </cell>
        </row>
        <row r="30">
          <cell r="D30" t="str">
            <v>199.902,64</v>
          </cell>
          <cell r="L30" t="str">
            <v>11.882,01</v>
          </cell>
        </row>
        <row r="31">
          <cell r="D31" t="str">
            <v>0,00</v>
          </cell>
          <cell r="L31" t="str">
            <v>4.547.245,56</v>
          </cell>
        </row>
        <row r="32">
          <cell r="D32" t="str">
            <v>84.430,18</v>
          </cell>
        </row>
        <row r="33">
          <cell r="D33" t="str">
            <v>73.539,84</v>
          </cell>
        </row>
        <row r="34">
          <cell r="D34" t="str">
            <v>0,00</v>
          </cell>
        </row>
        <row r="35">
          <cell r="D35" t="str">
            <v>0,00</v>
          </cell>
        </row>
        <row r="36">
          <cell r="D36" t="str">
            <v>10.890,34</v>
          </cell>
        </row>
      </sheetData>
      <sheetData sheetId="4">
        <row r="5">
          <cell r="D5" t="str">
            <v>93.675.765,99</v>
          </cell>
          <cell r="E5" t="str">
            <v>651.370,58</v>
          </cell>
          <cell r="F5" t="str">
            <v>94.327.136,57</v>
          </cell>
          <cell r="G5" t="str">
            <v>94.327.136,57</v>
          </cell>
          <cell r="H5" t="str">
            <v>89.525.572,35</v>
          </cell>
          <cell r="I5" t="str">
            <v>4.801.564,22</v>
          </cell>
          <cell r="J5" t="str">
            <v>87.235.897,43</v>
          </cell>
          <cell r="K5" t="str">
            <v>2.289.674,92</v>
          </cell>
        </row>
        <row r="6">
          <cell r="D6" t="str">
            <v>12.936.581,20</v>
          </cell>
          <cell r="E6" t="str">
            <v>6.882.919,00</v>
          </cell>
          <cell r="F6" t="str">
            <v>19.819.500,20</v>
          </cell>
          <cell r="G6" t="str">
            <v>19.666.813,71</v>
          </cell>
          <cell r="H6" t="str">
            <v>19.471.725,22</v>
          </cell>
          <cell r="I6" t="str">
            <v>347.774,98</v>
          </cell>
          <cell r="J6" t="str">
            <v>18.581.317,26</v>
          </cell>
          <cell r="K6" t="str">
            <v>890.407,96</v>
          </cell>
        </row>
        <row r="7">
          <cell r="D7" t="str">
            <v>0,00</v>
          </cell>
          <cell r="E7" t="str">
            <v>378.907,24</v>
          </cell>
          <cell r="F7" t="str">
            <v>378.907,24</v>
          </cell>
          <cell r="G7" t="str">
            <v>378.907,24</v>
          </cell>
          <cell r="H7" t="str">
            <v>378.907,24</v>
          </cell>
          <cell r="I7" t="str">
            <v>0,00</v>
          </cell>
          <cell r="J7" t="str">
            <v>378.907,24</v>
          </cell>
          <cell r="K7" t="str">
            <v>0,00</v>
          </cell>
        </row>
        <row r="8">
          <cell r="D8" t="str">
            <v>168.884,40</v>
          </cell>
          <cell r="E8" t="str">
            <v>809.230,20</v>
          </cell>
          <cell r="F8" t="str">
            <v>978.114,60</v>
          </cell>
          <cell r="G8" t="str">
            <v>978.114,60</v>
          </cell>
          <cell r="H8" t="str">
            <v>890.400,83</v>
          </cell>
          <cell r="I8" t="str">
            <v>87.713,77</v>
          </cell>
          <cell r="J8" t="str">
            <v>890.400,83</v>
          </cell>
          <cell r="K8" t="str">
            <v>0,00</v>
          </cell>
        </row>
        <row r="9">
          <cell r="D9" t="str">
            <v>8.627.132,09</v>
          </cell>
          <cell r="E9" t="str">
            <v>56.217.515,34</v>
          </cell>
          <cell r="F9" t="str">
            <v>64.844.647,43</v>
          </cell>
          <cell r="G9" t="str">
            <v>54.073.599,77</v>
          </cell>
          <cell r="H9" t="str">
            <v>33.613.993,58</v>
          </cell>
          <cell r="I9" t="str">
            <v>31.230.653,86</v>
          </cell>
          <cell r="J9" t="str">
            <v>27.447.970,72</v>
          </cell>
          <cell r="K9" t="str">
            <v>6.166.022,85</v>
          </cell>
        </row>
        <row r="10">
          <cell r="D10" t="str">
            <v>0,00</v>
          </cell>
          <cell r="E10" t="str">
            <v>199.902,64</v>
          </cell>
          <cell r="F10" t="str">
            <v>199.902,64</v>
          </cell>
          <cell r="G10" t="str">
            <v>199.902,64</v>
          </cell>
          <cell r="H10" t="str">
            <v>199.902,64</v>
          </cell>
          <cell r="I10" t="str">
            <v>0,00</v>
          </cell>
          <cell r="J10" t="str">
            <v>199.902,64</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25.581.202,75</v>
          </cell>
          <cell r="E21" t="str">
            <v>1.950.914,34</v>
          </cell>
          <cell r="F21" t="str">
            <v>27.532.117,09</v>
          </cell>
          <cell r="G21" t="str">
            <v>23.027.513,42</v>
          </cell>
          <cell r="H21" t="str">
            <v>22.108.661,06</v>
          </cell>
          <cell r="I21" t="str">
            <v>4.980.436,56</v>
          </cell>
          <cell r="J21" t="str">
            <v>918.852,36</v>
          </cell>
        </row>
        <row r="22">
          <cell r="D22" t="str">
            <v>86.865.968,29</v>
          </cell>
          <cell r="E22" t="str">
            <v>1.595.629,85</v>
          </cell>
          <cell r="F22" t="str">
            <v>88.461.598,14</v>
          </cell>
          <cell r="G22" t="str">
            <v>88.795.083,12</v>
          </cell>
          <cell r="H22" t="str">
            <v>73.148.223,55</v>
          </cell>
          <cell r="I22" t="str">
            <v>0,00</v>
          </cell>
          <cell r="J22" t="str">
            <v>15.646.859,57</v>
          </cell>
        </row>
        <row r="23">
          <cell r="D23" t="str">
            <v>630.461,70</v>
          </cell>
          <cell r="E23" t="str">
            <v>785,16</v>
          </cell>
          <cell r="F23" t="str">
            <v>631.246,85</v>
          </cell>
          <cell r="G23" t="str">
            <v>956.114,41</v>
          </cell>
          <cell r="H23" t="str">
            <v>811.948,26</v>
          </cell>
          <cell r="I23" t="str">
            <v>0,00</v>
          </cell>
          <cell r="J23" t="str">
            <v>144.166,14</v>
          </cell>
        </row>
        <row r="24">
          <cell r="D24" t="str">
            <v>0,00</v>
          </cell>
          <cell r="E24" t="str">
            <v>0,00</v>
          </cell>
          <cell r="F24" t="str">
            <v>0,00</v>
          </cell>
          <cell r="G24" t="str">
            <v>0,00</v>
          </cell>
          <cell r="H24" t="str">
            <v>0,00</v>
          </cell>
          <cell r="I24" t="str">
            <v>0,00</v>
          </cell>
          <cell r="J24" t="str">
            <v>0,00</v>
          </cell>
        </row>
        <row r="25">
          <cell r="D25" t="str">
            <v>0,00</v>
          </cell>
          <cell r="E25" t="str">
            <v>15.246.446,98</v>
          </cell>
          <cell r="F25" t="str">
            <v>15.246.446,98</v>
          </cell>
          <cell r="G25" t="str">
            <v>31.374.531,92</v>
          </cell>
          <cell r="H25" t="str">
            <v>9.059.546,16</v>
          </cell>
          <cell r="I25" t="str">
            <v>0,00</v>
          </cell>
          <cell r="J25" t="str">
            <v>22.314.985,76</v>
          </cell>
        </row>
        <row r="26">
          <cell r="D26" t="str">
            <v>2.330.730,95</v>
          </cell>
          <cell r="E26" t="str">
            <v>22.425.786,92</v>
          </cell>
          <cell r="F26" t="str">
            <v>24.756.517,87</v>
          </cell>
          <cell r="G26" t="str">
            <v>0,00</v>
          </cell>
          <cell r="H26" t="str">
            <v>0,00</v>
          </cell>
          <cell r="I26" t="str">
            <v>0,00</v>
          </cell>
          <cell r="J26" t="str">
            <v>0,00</v>
          </cell>
        </row>
        <row r="27">
          <cell r="D27" t="str">
            <v>0,00</v>
          </cell>
          <cell r="E27" t="str">
            <v>23.920.281,75</v>
          </cell>
          <cell r="F27" t="str">
            <v>23.920.281,75</v>
          </cell>
          <cell r="G27" t="str">
            <v>0,00</v>
          </cell>
          <cell r="H27" t="str">
            <v>0,00</v>
          </cell>
          <cell r="I27" t="str">
            <v>0,00</v>
          </cell>
          <cell r="J27" t="str">
            <v>0,00</v>
          </cell>
        </row>
      </sheetData>
      <sheetData sheetId="5">
        <row r="4">
          <cell r="D4" t="str">
            <v>144.153.242,87</v>
          </cell>
          <cell r="E4" t="str">
            <v>144.080.501,85</v>
          </cell>
        </row>
        <row r="5">
          <cell r="D5" t="str">
            <v>0,00</v>
          </cell>
          <cell r="E5" t="str">
            <v>0,00</v>
          </cell>
        </row>
        <row r="6">
          <cell r="D6" t="str">
            <v>0,00</v>
          </cell>
          <cell r="E6" t="str">
            <v>0,00</v>
          </cell>
        </row>
        <row r="8">
          <cell r="D8" t="str">
            <v>0,00</v>
          </cell>
          <cell r="E8" t="str">
            <v>0,00</v>
          </cell>
        </row>
        <row r="10">
          <cell r="F10" t="str">
            <v>0,00</v>
          </cell>
        </row>
        <row r="11">
          <cell r="F11" t="str">
            <v>0,00</v>
          </cell>
        </row>
        <row r="12">
          <cell r="F12" t="str">
            <v>0,00</v>
          </cell>
        </row>
      </sheetData>
      <sheetData sheetId="6">
        <row r="3">
          <cell r="D3" t="str">
            <v>51.823.622,77</v>
          </cell>
        </row>
        <row r="4">
          <cell r="D4" t="str">
            <v>39.024.863,84</v>
          </cell>
        </row>
        <row r="5">
          <cell r="D5" t="str">
            <v>6.866.637,24</v>
          </cell>
        </row>
        <row r="6">
          <cell r="D6" t="str">
            <v>5.932.121,69</v>
          </cell>
        </row>
        <row r="7">
          <cell r="D7" t="str">
            <v>0,00</v>
          </cell>
        </row>
        <row r="8">
          <cell r="D8" t="str">
            <v>0,00</v>
          </cell>
        </row>
        <row r="9">
          <cell r="D9" t="str">
            <v>0,00</v>
          </cell>
        </row>
        <row r="10">
          <cell r="D10" t="str">
            <v>13.969.691,78</v>
          </cell>
        </row>
        <row r="11">
          <cell r="D11" t="str">
            <v>9.346.105,74</v>
          </cell>
        </row>
        <row r="12">
          <cell r="D12" t="str">
            <v>243.019,17</v>
          </cell>
        </row>
        <row r="13">
          <cell r="D13" t="str">
            <v>4.380.566,87</v>
          </cell>
        </row>
        <row r="14">
          <cell r="D14" t="str">
            <v>0,00</v>
          </cell>
        </row>
        <row r="15">
          <cell r="D15" t="str">
            <v>0,00</v>
          </cell>
        </row>
        <row r="16">
          <cell r="D16" t="str">
            <v>-39.853,11</v>
          </cell>
        </row>
        <row r="17">
          <cell r="D17" t="str">
            <v>0,00</v>
          </cell>
        </row>
        <row r="18">
          <cell r="D18" t="str">
            <v>37.814.077,88</v>
          </cell>
        </row>
        <row r="19">
          <cell r="D19" t="str">
            <v>37.814.077,88</v>
          </cell>
        </row>
        <row r="23">
          <cell r="D23" t="str">
            <v>121.367.953,99</v>
          </cell>
        </row>
        <row r="24">
          <cell r="D24" t="str">
            <v>105.128.379,03</v>
          </cell>
        </row>
        <row r="25">
          <cell r="D25" t="str">
            <v>16.239.574,96</v>
          </cell>
        </row>
        <row r="26">
          <cell r="D26" t="str">
            <v>0,00</v>
          </cell>
        </row>
        <row r="27">
          <cell r="D27" t="str">
            <v>0,00</v>
          </cell>
        </row>
        <row r="28">
          <cell r="D28" t="str">
            <v>140.712.315,90</v>
          </cell>
        </row>
        <row r="29">
          <cell r="D29" t="str">
            <v>134.734.396,11</v>
          </cell>
        </row>
        <row r="30">
          <cell r="D30" t="str">
            <v>4.082.255,66</v>
          </cell>
        </row>
        <row r="31">
          <cell r="D31" t="str">
            <v>1.895.664,12</v>
          </cell>
        </row>
        <row r="32">
          <cell r="D32" t="str">
            <v>0,00</v>
          </cell>
        </row>
        <row r="33">
          <cell r="D33" t="str">
            <v>-19.344.361,91</v>
          </cell>
        </row>
        <row r="34">
          <cell r="D34" t="str">
            <v>19.304.508,79</v>
          </cell>
        </row>
        <row r="35">
          <cell r="D35" t="str">
            <v>-39.853,11</v>
          </cell>
        </row>
      </sheetData>
      <sheetData sheetId="7">
        <row r="5">
          <cell r="D5" t="str">
            <v>2.186.080,34</v>
          </cell>
          <cell r="E5" t="str">
            <v>-9.273,91</v>
          </cell>
          <cell r="F5" t="str">
            <v>2.176.806,43</v>
          </cell>
          <cell r="G5" t="str">
            <v>2.176.806,43</v>
          </cell>
          <cell r="H5" t="str">
            <v>0,00</v>
          </cell>
        </row>
        <row r="6">
          <cell r="D6" t="str">
            <v>1.028.883,33</v>
          </cell>
          <cell r="E6" t="str">
            <v>-226.641,80</v>
          </cell>
          <cell r="F6" t="str">
            <v>802.241,53</v>
          </cell>
          <cell r="G6" t="str">
            <v>643.447,26</v>
          </cell>
          <cell r="H6" t="str">
            <v>158.794,27</v>
          </cell>
        </row>
        <row r="7">
          <cell r="D7" t="str">
            <v>131.661,94</v>
          </cell>
          <cell r="E7" t="str">
            <v>0,00</v>
          </cell>
          <cell r="F7" t="str">
            <v>131.661,94</v>
          </cell>
          <cell r="G7" t="str">
            <v>131.661,94</v>
          </cell>
          <cell r="H7" t="str">
            <v>0,00</v>
          </cell>
        </row>
        <row r="8">
          <cell r="D8" t="str">
            <v>0,00</v>
          </cell>
          <cell r="E8" t="str">
            <v>0,00</v>
          </cell>
          <cell r="F8" t="str">
            <v>0,00</v>
          </cell>
          <cell r="G8" t="str">
            <v>0,00</v>
          </cell>
          <cell r="H8" t="str">
            <v>0,00</v>
          </cell>
        </row>
        <row r="9">
          <cell r="D9" t="str">
            <v>2.464.980,58</v>
          </cell>
          <cell r="E9" t="str">
            <v>-1.250.415,65</v>
          </cell>
          <cell r="F9" t="str">
            <v>1.214.564,93</v>
          </cell>
          <cell r="G9" t="str">
            <v>1.130.340,03</v>
          </cell>
          <cell r="H9" t="str">
            <v>84.224,90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4.602.630,00</v>
          </cell>
          <cell r="E21" t="str">
            <v>0,00</v>
          </cell>
          <cell r="F21" t="str">
            <v>6.701,28</v>
          </cell>
          <cell r="G21" t="str">
            <v>0,00</v>
          </cell>
          <cell r="H21" t="str">
            <v>4.595.928,72</v>
          </cell>
          <cell r="I21" t="str">
            <v>4.571.924,96</v>
          </cell>
          <cell r="J21" t="str">
            <v>0,00</v>
          </cell>
          <cell r="K21" t="str">
            <v>0,00</v>
          </cell>
          <cell r="L21" t="str">
            <v>24.003,76</v>
          </cell>
        </row>
        <row r="22">
          <cell r="D22" t="str">
            <v>3.946.467,21</v>
          </cell>
          <cell r="E22" t="str">
            <v>0,00</v>
          </cell>
          <cell r="F22" t="str">
            <v>1.803,04</v>
          </cell>
          <cell r="G22" t="str">
            <v>0,00</v>
          </cell>
          <cell r="H22" t="str">
            <v>3.944.664,17</v>
          </cell>
          <cell r="I22" t="str">
            <v>3.504.201,74</v>
          </cell>
          <cell r="J22" t="str">
            <v>0,00</v>
          </cell>
          <cell r="K22" t="str">
            <v>0,00</v>
          </cell>
          <cell r="L22" t="str">
            <v>440.462,43</v>
          </cell>
        </row>
        <row r="23">
          <cell r="D23" t="str">
            <v>151.639,65</v>
          </cell>
          <cell r="E23" t="str">
            <v>0,00</v>
          </cell>
          <cell r="F23" t="str">
            <v>0,01</v>
          </cell>
          <cell r="G23" t="str">
            <v>0,00</v>
          </cell>
          <cell r="H23" t="str">
            <v>151.639,65</v>
          </cell>
          <cell r="I23" t="str">
            <v>151.639,65</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10.080.735,90</v>
          </cell>
          <cell r="E25" t="str">
            <v>4.335.632,32</v>
          </cell>
          <cell r="F25" t="str">
            <v>2.388,55</v>
          </cell>
          <cell r="G25" t="str">
            <v>0,00</v>
          </cell>
          <cell r="H25" t="str">
            <v>14.413.979,67</v>
          </cell>
          <cell r="I25" t="str">
            <v>8.011.808,63</v>
          </cell>
          <cell r="J25" t="str">
            <v>0,00</v>
          </cell>
          <cell r="K25" t="str">
            <v>0,00</v>
          </cell>
          <cell r="L25" t="str">
            <v>6.402.171,04</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4403</v>
          </cell>
        </row>
        <row r="10">
          <cell r="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 val="1100"/>
    </sheetNames>
    <sheetDataSet>
      <sheetData sheetId="0"/>
      <sheetData sheetId="1"/>
      <sheetData sheetId="2">
        <row r="4">
          <cell r="D4" t="str">
            <v>138.548.717,44</v>
          </cell>
          <cell r="L4" t="str">
            <v>62.699.548,09</v>
          </cell>
        </row>
        <row r="5">
          <cell r="D5" t="str">
            <v>164.263.490,39</v>
          </cell>
          <cell r="L5" t="str">
            <v>0,00</v>
          </cell>
        </row>
        <row r="6">
          <cell r="D6" t="str">
            <v>-37.062.966,68</v>
          </cell>
        </row>
        <row r="7">
          <cell r="D7" t="str">
            <v>0,00</v>
          </cell>
          <cell r="L7" t="str">
            <v>0,00</v>
          </cell>
        </row>
        <row r="8">
          <cell r="D8" t="str">
            <v>11.348.193,73</v>
          </cell>
          <cell r="L8" t="str">
            <v>0,00</v>
          </cell>
        </row>
        <row r="9">
          <cell r="D9" t="str">
            <v>0,00</v>
          </cell>
          <cell r="L9" t="str">
            <v>84.478.702,14</v>
          </cell>
        </row>
        <row r="11">
          <cell r="L11" t="str">
            <v>0,00</v>
          </cell>
        </row>
        <row r="12">
          <cell r="L12" t="str">
            <v>13.949.924,18</v>
          </cell>
        </row>
        <row r="13">
          <cell r="D13" t="str">
            <v>0,00</v>
          </cell>
          <cell r="L13" t="str">
            <v>0,00</v>
          </cell>
        </row>
        <row r="14">
          <cell r="D14" t="str">
            <v>0,00</v>
          </cell>
        </row>
        <row r="15">
          <cell r="D15" t="str">
            <v>0,00</v>
          </cell>
          <cell r="L15" t="str">
            <v>0,00</v>
          </cell>
        </row>
        <row r="16">
          <cell r="L16" t="str">
            <v>11.699.292,44</v>
          </cell>
        </row>
        <row r="17">
          <cell r="D17" t="str">
            <v>0,00</v>
          </cell>
          <cell r="L17" t="str">
            <v>0,00</v>
          </cell>
        </row>
        <row r="18">
          <cell r="D18" t="str">
            <v>34.465,04</v>
          </cell>
          <cell r="L18" t="str">
            <v>0,00</v>
          </cell>
        </row>
        <row r="19">
          <cell r="D19" t="str">
            <v>0,00</v>
          </cell>
          <cell r="L19" t="str">
            <v>0,00</v>
          </cell>
        </row>
        <row r="20">
          <cell r="D20" t="str">
            <v>0,00</v>
          </cell>
          <cell r="L20" t="str">
            <v>0,00</v>
          </cell>
        </row>
        <row r="21">
          <cell r="D21" t="str">
            <v>0,00</v>
          </cell>
          <cell r="L21" t="str">
            <v>0,00</v>
          </cell>
        </row>
        <row r="22">
          <cell r="D22" t="str">
            <v>0,00</v>
          </cell>
          <cell r="L22" t="str">
            <v>169.175,96</v>
          </cell>
        </row>
        <row r="23">
          <cell r="D23" t="str">
            <v>0,00</v>
          </cell>
          <cell r="L23" t="str">
            <v>1.533.107,08</v>
          </cell>
        </row>
        <row r="24">
          <cell r="D24" t="str">
            <v>579.449,91</v>
          </cell>
          <cell r="L24" t="str">
            <v>0,00</v>
          </cell>
        </row>
        <row r="25">
          <cell r="L25" t="str">
            <v>125.750,08</v>
          </cell>
        </row>
        <row r="28">
          <cell r="L28" t="str">
            <v>3.348.813,31</v>
          </cell>
        </row>
        <row r="29">
          <cell r="L29" t="str">
            <v>0,00</v>
          </cell>
        </row>
        <row r="30">
          <cell r="D30" t="str">
            <v>24.820.849,54</v>
          </cell>
          <cell r="L30" t="str">
            <v>0,00</v>
          </cell>
        </row>
        <row r="31">
          <cell r="D31" t="str">
            <v>3.817.044,58</v>
          </cell>
        </row>
        <row r="32">
          <cell r="D32" t="str">
            <v>271.095,94</v>
          </cell>
        </row>
        <row r="33">
          <cell r="D33" t="str">
            <v>-1.440.451,26</v>
          </cell>
        </row>
        <row r="35">
          <cell r="D35" t="str">
            <v>0,00</v>
          </cell>
        </row>
        <row r="36">
          <cell r="D36" t="str">
            <v>0,00</v>
          </cell>
        </row>
        <row r="37">
          <cell r="D37" t="str">
            <v>0,00</v>
          </cell>
        </row>
        <row r="38">
          <cell r="D38" t="str">
            <v>0,00</v>
          </cell>
        </row>
        <row r="39">
          <cell r="D39" t="str">
            <v>0,00</v>
          </cell>
        </row>
        <row r="40">
          <cell r="D40" t="str">
            <v>10.389.925,27</v>
          </cell>
        </row>
        <row r="41">
          <cell r="D41" t="str">
            <v>0,00</v>
          </cell>
        </row>
        <row r="42">
          <cell r="D42" t="str">
            <v>0,00</v>
          </cell>
        </row>
        <row r="43">
          <cell r="D43" t="str">
            <v>0,00</v>
          </cell>
        </row>
        <row r="44">
          <cell r="D44" t="str">
            <v>983.216,82</v>
          </cell>
          <cell r="R44">
            <v>163593514</v>
          </cell>
        </row>
      </sheetData>
      <sheetData sheetId="3">
        <row r="4">
          <cell r="D4" t="str">
            <v>-118.711,89</v>
          </cell>
          <cell r="L4" t="str">
            <v>10.850.010,29</v>
          </cell>
        </row>
        <row r="5">
          <cell r="D5" t="str">
            <v>61.936.898,57</v>
          </cell>
          <cell r="L5" t="str">
            <v>1.204.634,39</v>
          </cell>
        </row>
        <row r="6">
          <cell r="D6" t="str">
            <v>622.242,46</v>
          </cell>
          <cell r="L6" t="str">
            <v>15.959.102,11</v>
          </cell>
        </row>
        <row r="7">
          <cell r="D7" t="str">
            <v>145.991,45</v>
          </cell>
          <cell r="L7" t="str">
            <v>0,00</v>
          </cell>
        </row>
        <row r="8">
          <cell r="D8" t="str">
            <v>14.230.527,38</v>
          </cell>
          <cell r="L8" t="str">
            <v>0,00</v>
          </cell>
        </row>
        <row r="9">
          <cell r="D9" t="str">
            <v>0,00</v>
          </cell>
          <cell r="L9" t="str">
            <v>0,00</v>
          </cell>
        </row>
        <row r="10">
          <cell r="D10" t="str">
            <v>0,00</v>
          </cell>
          <cell r="L10" t="str">
            <v>53.297.290,85</v>
          </cell>
        </row>
        <row r="11">
          <cell r="D11" t="str">
            <v>776.890,29</v>
          </cell>
          <cell r="L11" t="str">
            <v>0,00</v>
          </cell>
        </row>
        <row r="12">
          <cell r="D12" t="str">
            <v>0,00</v>
          </cell>
          <cell r="L12" t="str">
            <v>2.252.046,37</v>
          </cell>
        </row>
        <row r="13">
          <cell r="D13" t="str">
            <v>7.837.143,35</v>
          </cell>
          <cell r="L13" t="str">
            <v>0,00</v>
          </cell>
        </row>
        <row r="17">
          <cell r="D17" t="str">
            <v>364.241,64</v>
          </cell>
        </row>
        <row r="18">
          <cell r="D18" t="str">
            <v>0,00</v>
          </cell>
          <cell r="L18" t="str">
            <v>0,00</v>
          </cell>
        </row>
        <row r="19">
          <cell r="D19" t="str">
            <v>16.453,34</v>
          </cell>
          <cell r="L19" t="str">
            <v>1.470.406,20</v>
          </cell>
        </row>
        <row r="20">
          <cell r="D20" t="str">
            <v>347.788,29</v>
          </cell>
          <cell r="L20" t="str">
            <v>0,00</v>
          </cell>
        </row>
        <row r="23">
          <cell r="D23" t="str">
            <v>0,00</v>
          </cell>
          <cell r="L23" t="str">
            <v>13.522,77</v>
          </cell>
        </row>
        <row r="26">
          <cell r="D26" t="str">
            <v>259.901,61</v>
          </cell>
          <cell r="L26" t="str">
            <v>51.940,60</v>
          </cell>
        </row>
      </sheetData>
      <sheetData sheetId="4">
        <row r="5">
          <cell r="D5" t="str">
            <v>54.842.278,09</v>
          </cell>
          <cell r="E5" t="str">
            <v>409.724,07</v>
          </cell>
          <cell r="F5" t="str">
            <v>55.252.002,16</v>
          </cell>
          <cell r="G5" t="str">
            <v>50.553.771,13</v>
          </cell>
          <cell r="H5" t="str">
            <v>50.553.771,13</v>
          </cell>
          <cell r="I5" t="str">
            <v>4.698.231,03</v>
          </cell>
          <cell r="J5" t="str">
            <v>48.991.677,33</v>
          </cell>
          <cell r="K5" t="str">
            <v>1.562.093,81</v>
          </cell>
        </row>
        <row r="6">
          <cell r="D6" t="str">
            <v>14.842.310,75</v>
          </cell>
          <cell r="E6" t="str">
            <v>-1.613.587,51</v>
          </cell>
          <cell r="F6" t="str">
            <v>13.228.723,24</v>
          </cell>
          <cell r="G6" t="str">
            <v>12.437.208,30</v>
          </cell>
          <cell r="H6" t="str">
            <v>12.437.208,30</v>
          </cell>
          <cell r="I6" t="str">
            <v>791.514,94</v>
          </cell>
          <cell r="J6" t="str">
            <v>11.491.679,52</v>
          </cell>
          <cell r="K6" t="str">
            <v>945.528,79</v>
          </cell>
        </row>
        <row r="7">
          <cell r="D7" t="str">
            <v>60.101,21</v>
          </cell>
          <cell r="E7" t="str">
            <v>565.604,56</v>
          </cell>
          <cell r="F7" t="str">
            <v>625.705,77</v>
          </cell>
          <cell r="G7" t="str">
            <v>622.147,05</v>
          </cell>
          <cell r="H7" t="str">
            <v>622.147,05</v>
          </cell>
          <cell r="I7" t="str">
            <v>3.558,72</v>
          </cell>
          <cell r="J7" t="str">
            <v>605.614,10</v>
          </cell>
          <cell r="K7" t="str">
            <v>16.532,95</v>
          </cell>
        </row>
        <row r="8">
          <cell r="D8" t="str">
            <v>1.095.584,97</v>
          </cell>
          <cell r="E8" t="str">
            <v>0,00</v>
          </cell>
          <cell r="F8" t="str">
            <v>1.095.584,97</v>
          </cell>
          <cell r="G8" t="str">
            <v>776.890,29</v>
          </cell>
          <cell r="H8" t="str">
            <v>776.890,29</v>
          </cell>
          <cell r="I8" t="str">
            <v>318.694,67</v>
          </cell>
          <cell r="J8" t="str">
            <v>595.384,07</v>
          </cell>
          <cell r="K8" t="str">
            <v>181.506,22</v>
          </cell>
        </row>
        <row r="9">
          <cell r="D9" t="str">
            <v>21.519.779,31</v>
          </cell>
          <cell r="E9" t="str">
            <v>40.637.194,05</v>
          </cell>
          <cell r="F9" t="str">
            <v>62.156.973,36</v>
          </cell>
          <cell r="G9" t="str">
            <v>52.884.805,51</v>
          </cell>
          <cell r="H9" t="str">
            <v>41.828.872,93</v>
          </cell>
          <cell r="I9" t="str">
            <v>20.328.100,43</v>
          </cell>
          <cell r="J9" t="str">
            <v>32.835.242,26</v>
          </cell>
          <cell r="K9" t="str">
            <v>8.993.630,67</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28.570.913,42</v>
          </cell>
          <cell r="E21" t="str">
            <v>-405.084,48</v>
          </cell>
          <cell r="F21" t="str">
            <v>28.165.828,93</v>
          </cell>
          <cell r="G21" t="str">
            <v>25.502.992,94</v>
          </cell>
          <cell r="H21" t="str">
            <v>22.941.753,16</v>
          </cell>
          <cell r="I21" t="str">
            <v>248.585,56</v>
          </cell>
          <cell r="J21" t="str">
            <v>2.561.239,78</v>
          </cell>
        </row>
        <row r="22">
          <cell r="D22" t="str">
            <v>51.664.202,52</v>
          </cell>
          <cell r="E22" t="str">
            <v>650.930,74</v>
          </cell>
          <cell r="F22" t="str">
            <v>52.315.133,26</v>
          </cell>
          <cell r="G22" t="str">
            <v>53.391.878,61</v>
          </cell>
          <cell r="H22" t="str">
            <v>44.274.864,04</v>
          </cell>
          <cell r="I22" t="str">
            <v>0,00</v>
          </cell>
          <cell r="J22" t="str">
            <v>9.117.014,57</v>
          </cell>
        </row>
        <row r="23">
          <cell r="D23" t="str">
            <v>787.325,86</v>
          </cell>
          <cell r="E23" t="str">
            <v>0,00</v>
          </cell>
          <cell r="F23" t="str">
            <v>787.325,86</v>
          </cell>
          <cell r="G23" t="str">
            <v>1.204.634,39</v>
          </cell>
          <cell r="H23" t="str">
            <v>714.436,06</v>
          </cell>
          <cell r="I23" t="str">
            <v>0,00</v>
          </cell>
          <cell r="J23" t="str">
            <v>490.198,33</v>
          </cell>
        </row>
        <row r="24">
          <cell r="D24" t="str">
            <v>0,00</v>
          </cell>
          <cell r="E24" t="str">
            <v>0,00</v>
          </cell>
          <cell r="F24" t="str">
            <v>0,00</v>
          </cell>
          <cell r="G24" t="str">
            <v>0,00</v>
          </cell>
          <cell r="H24" t="str">
            <v>0,00</v>
          </cell>
          <cell r="I24" t="str">
            <v>0,00</v>
          </cell>
          <cell r="J24" t="str">
            <v>0,00</v>
          </cell>
        </row>
        <row r="25">
          <cell r="D25" t="str">
            <v>7.939.369,90</v>
          </cell>
          <cell r="E25" t="str">
            <v>19.151.691,20</v>
          </cell>
          <cell r="F25" t="str">
            <v>27.091.061,10</v>
          </cell>
          <cell r="G25" t="str">
            <v>19.828.590,28</v>
          </cell>
          <cell r="H25" t="str">
            <v>8.232.665,74</v>
          </cell>
          <cell r="I25" t="str">
            <v>0,00</v>
          </cell>
          <cell r="J25" t="str">
            <v>11.595.924,55</v>
          </cell>
        </row>
        <row r="26">
          <cell r="D26" t="str">
            <v>3.398.242,64</v>
          </cell>
          <cell r="E26" t="str">
            <v>11.326.818,94</v>
          </cell>
          <cell r="F26" t="str">
            <v>14.725.061,58</v>
          </cell>
          <cell r="G26" t="str">
            <v>0,00</v>
          </cell>
          <cell r="H26" t="str">
            <v>0,00</v>
          </cell>
          <cell r="I26" t="str">
            <v>0,00</v>
          </cell>
          <cell r="J26" t="str">
            <v>0,00</v>
          </cell>
        </row>
        <row r="27">
          <cell r="D27" t="str">
            <v>0,00</v>
          </cell>
          <cell r="E27" t="str">
            <v>9.274.578,78</v>
          </cell>
          <cell r="F27" t="str">
            <v>9.274.578,78</v>
          </cell>
          <cell r="G27" t="str">
            <v>13.631.333,96</v>
          </cell>
          <cell r="H27" t="str">
            <v>13.631.333,96</v>
          </cell>
          <cell r="I27" t="str">
            <v>0,00</v>
          </cell>
          <cell r="J27" t="str">
            <v>0,00</v>
          </cell>
        </row>
      </sheetData>
      <sheetData sheetId="5">
        <row r="4">
          <cell r="D4" t="str">
            <v>99.928.096,22</v>
          </cell>
          <cell r="E4" t="str">
            <v>106.218.889,71</v>
          </cell>
        </row>
        <row r="5">
          <cell r="D5" t="str">
            <v>0,00</v>
          </cell>
          <cell r="E5" t="str">
            <v>0,00</v>
          </cell>
        </row>
        <row r="6">
          <cell r="D6" t="str">
            <v>0,00</v>
          </cell>
          <cell r="E6" t="str">
            <v>0,00</v>
          </cell>
        </row>
        <row r="8">
          <cell r="D8" t="str">
            <v>13.631.333,96</v>
          </cell>
          <cell r="E8" t="str">
            <v>0,00</v>
          </cell>
        </row>
        <row r="10">
          <cell r="F10" t="str">
            <v>0,00</v>
          </cell>
        </row>
        <row r="11">
          <cell r="F11" t="str">
            <v>0,00</v>
          </cell>
        </row>
        <row r="12">
          <cell r="F12" t="str">
            <v>0,00</v>
          </cell>
        </row>
      </sheetData>
      <sheetData sheetId="6">
        <row r="3">
          <cell r="D3" t="str">
            <v>24.695.099,46</v>
          </cell>
        </row>
        <row r="4">
          <cell r="D4" t="str">
            <v>23.764.377,23</v>
          </cell>
        </row>
        <row r="5">
          <cell r="D5" t="str">
            <v>1.056.472,32</v>
          </cell>
        </row>
        <row r="6">
          <cell r="D6" t="str">
            <v>0,00</v>
          </cell>
        </row>
        <row r="7">
          <cell r="D7" t="str">
            <v>0,00</v>
          </cell>
        </row>
        <row r="8">
          <cell r="D8" t="str">
            <v>0,00</v>
          </cell>
        </row>
        <row r="9">
          <cell r="D9" t="str">
            <v>125.750,08</v>
          </cell>
        </row>
        <row r="10">
          <cell r="D10" t="str">
            <v>12.685.303,60</v>
          </cell>
        </row>
        <row r="11">
          <cell r="D11" t="str">
            <v>11.699.292,44</v>
          </cell>
        </row>
        <row r="12">
          <cell r="D12" t="str">
            <v>0,00</v>
          </cell>
        </row>
        <row r="13">
          <cell r="D13" t="str">
            <v>986.011,16</v>
          </cell>
        </row>
        <row r="14">
          <cell r="D14" t="str">
            <v>0,00</v>
          </cell>
        </row>
        <row r="15">
          <cell r="D15" t="str">
            <v>0,00</v>
          </cell>
        </row>
        <row r="16">
          <cell r="D16" t="str">
            <v>10.389.925,27</v>
          </cell>
        </row>
        <row r="17">
          <cell r="D17" t="str">
            <v>0,00</v>
          </cell>
        </row>
        <row r="18">
          <cell r="D18" t="str">
            <v>22.399.721,13</v>
          </cell>
        </row>
        <row r="19">
          <cell r="D19" t="str">
            <v>22.399.721,13</v>
          </cell>
        </row>
        <row r="23">
          <cell r="D23" t="str">
            <v>114.395.350,95</v>
          </cell>
        </row>
        <row r="24">
          <cell r="D24" t="str">
            <v>89.795.052,96</v>
          </cell>
        </row>
        <row r="25">
          <cell r="D25" t="str">
            <v>7.656.185,97</v>
          </cell>
        </row>
        <row r="26">
          <cell r="D26" t="str">
            <v>16.944.112,03</v>
          </cell>
        </row>
        <row r="27">
          <cell r="D27" t="str">
            <v>0,00</v>
          </cell>
        </row>
        <row r="28">
          <cell r="D28" t="str">
            <v>117.834.714,20</v>
          </cell>
        </row>
        <row r="29">
          <cell r="D29" t="str">
            <v>94.519.597,27</v>
          </cell>
        </row>
        <row r="30">
          <cell r="D30" t="str">
            <v>5.254.703,19</v>
          </cell>
        </row>
        <row r="31">
          <cell r="D31" t="str">
            <v>18.060.413,74</v>
          </cell>
        </row>
        <row r="32">
          <cell r="D32" t="str">
            <v>0,00</v>
          </cell>
        </row>
        <row r="33">
          <cell r="D33" t="str">
            <v>-3.439.363,25</v>
          </cell>
        </row>
        <row r="34">
          <cell r="D34" t="str">
            <v>13.829.288,52</v>
          </cell>
        </row>
        <row r="35">
          <cell r="D35" t="str">
            <v>10.389.925,27</v>
          </cell>
        </row>
      </sheetData>
      <sheetData sheetId="7">
        <row r="5">
          <cell r="D5" t="str">
            <v>579.478,92</v>
          </cell>
          <cell r="E5" t="str">
            <v>-32.166,69</v>
          </cell>
          <cell r="F5" t="str">
            <v>547.312,23</v>
          </cell>
          <cell r="G5" t="str">
            <v>547.312,23</v>
          </cell>
          <cell r="H5" t="str">
            <v>0,00</v>
          </cell>
        </row>
        <row r="6">
          <cell r="D6" t="str">
            <v>1.031.985,49</v>
          </cell>
          <cell r="E6" t="str">
            <v>-1.194,51</v>
          </cell>
          <cell r="F6" t="str">
            <v>1.030.790,98</v>
          </cell>
          <cell r="G6" t="str">
            <v>1.030.790,98</v>
          </cell>
          <cell r="H6" t="str">
            <v>0,00</v>
          </cell>
        </row>
        <row r="7">
          <cell r="D7" t="str">
            <v>57.688,84</v>
          </cell>
          <cell r="E7" t="str">
            <v>0,00</v>
          </cell>
          <cell r="F7" t="str">
            <v>57.688,84</v>
          </cell>
          <cell r="G7" t="str">
            <v>57.688,84</v>
          </cell>
          <cell r="H7" t="str">
            <v>0,00</v>
          </cell>
        </row>
        <row r="8">
          <cell r="D8" t="str">
            <v>220.965,71</v>
          </cell>
          <cell r="E8" t="str">
            <v>-6.910,10</v>
          </cell>
          <cell r="F8" t="str">
            <v>214.055,61</v>
          </cell>
          <cell r="G8" t="str">
            <v>214.055,61</v>
          </cell>
          <cell r="H8" t="str">
            <v>0,00</v>
          </cell>
        </row>
        <row r="9">
          <cell r="D9" t="str">
            <v>3.416.524,84</v>
          </cell>
          <cell r="E9" t="str">
            <v>-11.669,30</v>
          </cell>
          <cell r="F9" t="str">
            <v>3.404.855,54</v>
          </cell>
          <cell r="G9" t="str">
            <v>3.404.855,54</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3.118.302,34</v>
          </cell>
          <cell r="E21" t="str">
            <v>-190.184,21</v>
          </cell>
          <cell r="F21" t="str">
            <v>0,00</v>
          </cell>
          <cell r="G21" t="str">
            <v>0,00</v>
          </cell>
          <cell r="H21" t="str">
            <v>2.928.118,13</v>
          </cell>
          <cell r="I21" t="str">
            <v>2.466.136,35</v>
          </cell>
          <cell r="J21" t="str">
            <v>0,00</v>
          </cell>
          <cell r="K21" t="str">
            <v>0,00</v>
          </cell>
          <cell r="L21" t="str">
            <v>461.981,78</v>
          </cell>
        </row>
        <row r="22">
          <cell r="D22" t="str">
            <v>1.802.046,84</v>
          </cell>
          <cell r="E22" t="str">
            <v>0,00</v>
          </cell>
          <cell r="F22" t="str">
            <v>0,00</v>
          </cell>
          <cell r="G22" t="str">
            <v>0,00</v>
          </cell>
          <cell r="H22" t="str">
            <v>1.802.046,84</v>
          </cell>
          <cell r="I22" t="str">
            <v>1.802.046,84</v>
          </cell>
          <cell r="J22" t="str">
            <v>0,00</v>
          </cell>
          <cell r="K22" t="str">
            <v>0,00</v>
          </cell>
          <cell r="L22" t="str">
            <v>0,00</v>
          </cell>
        </row>
        <row r="23">
          <cell r="D23" t="str">
            <v>388.032,77</v>
          </cell>
          <cell r="E23" t="str">
            <v>-51.086,03</v>
          </cell>
          <cell r="F23" t="str">
            <v>0,00</v>
          </cell>
          <cell r="G23" t="str">
            <v>0,00</v>
          </cell>
          <cell r="H23" t="str">
            <v>336.946,74</v>
          </cell>
          <cell r="I23" t="str">
            <v>330.035,11</v>
          </cell>
          <cell r="J23" t="str">
            <v>0,00</v>
          </cell>
          <cell r="K23" t="str">
            <v>0,00</v>
          </cell>
          <cell r="L23" t="str">
            <v>6.911,64</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3.664.177,94</v>
          </cell>
          <cell r="E25" t="str">
            <v>-18.631,38</v>
          </cell>
          <cell r="F25" t="str">
            <v>0,00</v>
          </cell>
          <cell r="G25" t="str">
            <v>0,00</v>
          </cell>
          <cell r="H25" t="str">
            <v>3.645.546,57</v>
          </cell>
          <cell r="I25" t="str">
            <v>3.057.967,67</v>
          </cell>
          <cell r="J25" t="str">
            <v>0,00</v>
          </cell>
          <cell r="K25" t="str">
            <v>0,00</v>
          </cell>
          <cell r="L25" t="str">
            <v>587.578,90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2453</v>
          </cell>
        </row>
        <row r="10">
          <cell r="H10">
            <v>3005060.5219189115</v>
          </cell>
        </row>
      </sheetData>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row r="3">
          <cell r="D3" t="str">
            <v>0,00</v>
          </cell>
        </row>
        <row r="4">
          <cell r="L4" t="str">
            <v>2.408.114,87</v>
          </cell>
        </row>
        <row r="5">
          <cell r="D5" t="str">
            <v>95.137.480,42</v>
          </cell>
        </row>
        <row r="6">
          <cell r="D6" t="str">
            <v>0,00</v>
          </cell>
        </row>
        <row r="7">
          <cell r="D7" t="str">
            <v>81.139.953,61</v>
          </cell>
        </row>
        <row r="8">
          <cell r="D8" t="str">
            <v>5.795.710,97</v>
          </cell>
          <cell r="L8" t="str">
            <v>0,00</v>
          </cell>
        </row>
        <row r="9">
          <cell r="D9" t="str">
            <v>0,00</v>
          </cell>
          <cell r="L9" t="str">
            <v>115.166.990,86</v>
          </cell>
        </row>
        <row r="10">
          <cell r="D10" t="str">
            <v>0,00</v>
          </cell>
        </row>
        <row r="11">
          <cell r="D11" t="str">
            <v>0,00</v>
          </cell>
        </row>
        <row r="12">
          <cell r="D12" t="str">
            <v>8.201.815,84</v>
          </cell>
        </row>
        <row r="13">
          <cell r="D13" t="str">
            <v>0,00</v>
          </cell>
        </row>
        <row r="14">
          <cell r="D14" t="str">
            <v>0,00</v>
          </cell>
        </row>
        <row r="15">
          <cell r="D15" t="str">
            <v>0,00</v>
          </cell>
        </row>
        <row r="16">
          <cell r="D16" t="str">
            <v>0,00</v>
          </cell>
        </row>
        <row r="17">
          <cell r="D17" t="str">
            <v>0,00</v>
          </cell>
        </row>
        <row r="18">
          <cell r="D18" t="str">
            <v>0,00</v>
          </cell>
        </row>
        <row r="19">
          <cell r="D19" t="str">
            <v>0,00</v>
          </cell>
        </row>
        <row r="21">
          <cell r="L21" t="str">
            <v>0,00</v>
          </cell>
        </row>
        <row r="22">
          <cell r="L22" t="str">
            <v>0,00</v>
          </cell>
        </row>
        <row r="23">
          <cell r="L23" t="str">
            <v>0,00</v>
          </cell>
        </row>
        <row r="24">
          <cell r="L24" t="str">
            <v>0,00</v>
          </cell>
        </row>
        <row r="25">
          <cell r="L25" t="str">
            <v>0,00</v>
          </cell>
        </row>
        <row r="26">
          <cell r="L26" t="str">
            <v>0,00</v>
          </cell>
        </row>
        <row r="28">
          <cell r="L28" t="str">
            <v>1.261.163,20</v>
          </cell>
        </row>
        <row r="29">
          <cell r="D29" t="str">
            <v>0,00</v>
          </cell>
          <cell r="L29" t="str">
            <v>0,00</v>
          </cell>
        </row>
        <row r="30">
          <cell r="D30" t="str">
            <v>0,00</v>
          </cell>
          <cell r="L30" t="str">
            <v>0,00</v>
          </cell>
        </row>
        <row r="31">
          <cell r="D31" t="str">
            <v>0,00</v>
          </cell>
          <cell r="L31" t="str">
            <v>0,00</v>
          </cell>
        </row>
        <row r="32">
          <cell r="D32" t="str">
            <v>0,00</v>
          </cell>
        </row>
        <row r="33">
          <cell r="D33" t="str">
            <v>0,00</v>
          </cell>
          <cell r="L33" t="str">
            <v>20.974.678,78</v>
          </cell>
        </row>
        <row r="34">
          <cell r="D34" t="str">
            <v>30.050,61</v>
          </cell>
        </row>
        <row r="36">
          <cell r="D36" t="str">
            <v>0,00</v>
          </cell>
          <cell r="L36" t="str">
            <v>0,00</v>
          </cell>
        </row>
        <row r="37">
          <cell r="D37" t="str">
            <v>0,00</v>
          </cell>
        </row>
        <row r="38">
          <cell r="D38" t="str">
            <v>0,00</v>
          </cell>
        </row>
        <row r="39">
          <cell r="D39" t="str">
            <v>0,00</v>
          </cell>
          <cell r="L39" t="str">
            <v>0,00</v>
          </cell>
        </row>
        <row r="40">
          <cell r="D40" t="str">
            <v>0,00</v>
          </cell>
          <cell r="L40" t="str">
            <v>10.911.063,15</v>
          </cell>
        </row>
        <row r="41">
          <cell r="D41" t="str">
            <v>0,00</v>
          </cell>
          <cell r="L41" t="str">
            <v>0,00</v>
          </cell>
        </row>
        <row r="42">
          <cell r="D42" t="str">
            <v>0,00</v>
          </cell>
          <cell r="L42" t="str">
            <v>2.415.653,46</v>
          </cell>
        </row>
        <row r="43">
          <cell r="D43" t="str">
            <v>0,00</v>
          </cell>
        </row>
        <row r="45">
          <cell r="D45" t="str">
            <v>38.610.407,76</v>
          </cell>
          <cell r="L45" t="str">
            <v>0,00</v>
          </cell>
        </row>
        <row r="46">
          <cell r="L46" t="str">
            <v>0,00</v>
          </cell>
        </row>
        <row r="48">
          <cell r="D48" t="str">
            <v>0,00</v>
          </cell>
          <cell r="L48" t="str">
            <v>0,00</v>
          </cell>
        </row>
        <row r="49">
          <cell r="L49" t="str">
            <v>0,00</v>
          </cell>
        </row>
        <row r="50">
          <cell r="L50" t="str">
            <v>0,00</v>
          </cell>
        </row>
        <row r="51">
          <cell r="D51" t="str">
            <v>0,00</v>
          </cell>
          <cell r="L51" t="str">
            <v>0,00</v>
          </cell>
        </row>
        <row r="52">
          <cell r="D52" t="str">
            <v>3.279.003,40</v>
          </cell>
        </row>
        <row r="53">
          <cell r="D53" t="str">
            <v>0,00</v>
          </cell>
        </row>
        <row r="55">
          <cell r="D55" t="str">
            <v>0,00</v>
          </cell>
        </row>
        <row r="56">
          <cell r="D56" t="str">
            <v>0,00</v>
          </cell>
        </row>
        <row r="57">
          <cell r="D57" t="str">
            <v>0,00</v>
          </cell>
        </row>
        <row r="58">
          <cell r="D58" t="str">
            <v>-277.169,59</v>
          </cell>
        </row>
        <row r="59">
          <cell r="D59" t="str">
            <v>1.609.412,16</v>
          </cell>
        </row>
        <row r="60">
          <cell r="D60" t="str">
            <v>0,00</v>
          </cell>
        </row>
        <row r="61">
          <cell r="D61" t="str">
            <v>14.748.479,56</v>
          </cell>
        </row>
      </sheetData>
      <sheetData sheetId="3">
        <row r="4">
          <cell r="D4" t="str">
            <v>861.738,64</v>
          </cell>
          <cell r="L4" t="str">
            <v>16.314.410,26</v>
          </cell>
        </row>
        <row r="5">
          <cell r="D5" t="str">
            <v>39.879.918,56</v>
          </cell>
          <cell r="L5" t="str">
            <v>389.751,87</v>
          </cell>
        </row>
        <row r="6">
          <cell r="D6" t="str">
            <v>1.194.594,41</v>
          </cell>
          <cell r="L6" t="str">
            <v>0,00</v>
          </cell>
        </row>
        <row r="7">
          <cell r="D7" t="str">
            <v>79.986,73</v>
          </cell>
          <cell r="L7" t="str">
            <v>0,00</v>
          </cell>
        </row>
        <row r="8">
          <cell r="D8" t="str">
            <v>11.804.680,59</v>
          </cell>
          <cell r="L8" t="str">
            <v>0,00</v>
          </cell>
        </row>
        <row r="9">
          <cell r="D9" t="str">
            <v>0,00</v>
          </cell>
          <cell r="L9" t="str">
            <v>0,00</v>
          </cell>
        </row>
        <row r="10">
          <cell r="D10" t="str">
            <v>0,00</v>
          </cell>
          <cell r="L10" t="str">
            <v>36.643.106,62</v>
          </cell>
        </row>
        <row r="11">
          <cell r="D11" t="str">
            <v>0,00</v>
          </cell>
          <cell r="L11" t="str">
            <v>0,00</v>
          </cell>
        </row>
        <row r="12">
          <cell r="D12" t="str">
            <v>0,00</v>
          </cell>
          <cell r="L12" t="str">
            <v>157.413,42</v>
          </cell>
        </row>
        <row r="13">
          <cell r="D13" t="str">
            <v>14.461.227,61</v>
          </cell>
          <cell r="L13" t="str">
            <v>0,00</v>
          </cell>
        </row>
        <row r="17">
          <cell r="D17" t="str">
            <v>0,00</v>
          </cell>
        </row>
        <row r="18">
          <cell r="D18" t="str">
            <v>0,00</v>
          </cell>
          <cell r="L18" t="str">
            <v>0,00</v>
          </cell>
        </row>
        <row r="19">
          <cell r="D19" t="str">
            <v>0,00</v>
          </cell>
          <cell r="L19" t="str">
            <v>0,00</v>
          </cell>
        </row>
        <row r="20">
          <cell r="D20" t="str">
            <v>0,00</v>
          </cell>
          <cell r="L20" t="str">
            <v>0,00</v>
          </cell>
        </row>
        <row r="23">
          <cell r="D23" t="str">
            <v>0,00</v>
          </cell>
          <cell r="L23" t="str">
            <v>0,00</v>
          </cell>
        </row>
        <row r="26">
          <cell r="D26" t="str">
            <v>633,96</v>
          </cell>
          <cell r="L26" t="str">
            <v>29.618,77</v>
          </cell>
        </row>
      </sheetData>
      <sheetData sheetId="4">
        <row r="5">
          <cell r="D5" t="str">
            <v>35.783.432,12</v>
          </cell>
          <cell r="E5" t="str">
            <v>-408.586,26</v>
          </cell>
          <cell r="F5" t="str">
            <v>35.374.845,86</v>
          </cell>
          <cell r="G5" t="str">
            <v>35.374.845,86</v>
          </cell>
          <cell r="H5" t="str">
            <v>35.374.845,86</v>
          </cell>
          <cell r="I5" t="str">
            <v>0,00</v>
          </cell>
          <cell r="J5" t="str">
            <v>35.026.282,92</v>
          </cell>
          <cell r="K5" t="str">
            <v>348.562,94</v>
          </cell>
        </row>
        <row r="6">
          <cell r="D6" t="str">
            <v>11.259.179,41</v>
          </cell>
          <cell r="E6" t="str">
            <v>768.267,73</v>
          </cell>
          <cell r="F6" t="str">
            <v>12.027.447,13</v>
          </cell>
          <cell r="G6" t="str">
            <v>12.027.447,13</v>
          </cell>
          <cell r="H6" t="str">
            <v>12.027.447,13</v>
          </cell>
          <cell r="I6" t="str">
            <v>0,00</v>
          </cell>
          <cell r="J6" t="str">
            <v>11.303.979,79</v>
          </cell>
          <cell r="K6" t="str">
            <v>723.467,34</v>
          </cell>
        </row>
        <row r="7">
          <cell r="D7" t="str">
            <v>276.465,57</v>
          </cell>
          <cell r="E7" t="str">
            <v>914.060,93</v>
          </cell>
          <cell r="F7" t="str">
            <v>1.190.526,50</v>
          </cell>
          <cell r="G7" t="str">
            <v>1.190.526,50</v>
          </cell>
          <cell r="H7" t="str">
            <v>1.190.526,50</v>
          </cell>
          <cell r="I7" t="str">
            <v>0,00</v>
          </cell>
          <cell r="J7" t="str">
            <v>1.190.526,50</v>
          </cell>
          <cell r="K7" t="str">
            <v>0,00</v>
          </cell>
        </row>
        <row r="8">
          <cell r="D8" t="str">
            <v>120.202,42</v>
          </cell>
          <cell r="E8" t="str">
            <v>-120.202,42</v>
          </cell>
          <cell r="F8" t="str">
            <v>0,00</v>
          </cell>
          <cell r="G8" t="str">
            <v>0,00</v>
          </cell>
          <cell r="H8" t="str">
            <v>0,00</v>
          </cell>
          <cell r="I8" t="str">
            <v>0,00</v>
          </cell>
          <cell r="J8" t="str">
            <v>0,00</v>
          </cell>
          <cell r="K8" t="str">
            <v>0,00</v>
          </cell>
        </row>
        <row r="9">
          <cell r="D9" t="str">
            <v>44.644.417,92</v>
          </cell>
          <cell r="E9" t="str">
            <v>2.810.960,07</v>
          </cell>
          <cell r="F9" t="str">
            <v>47.455.377,99</v>
          </cell>
          <cell r="G9" t="str">
            <v>39.764.773,25</v>
          </cell>
          <cell r="H9" t="str">
            <v>39.764.773,25</v>
          </cell>
          <cell r="I9" t="str">
            <v>7.690.604,74</v>
          </cell>
          <cell r="J9" t="str">
            <v>20.038.097,53</v>
          </cell>
          <cell r="K9" t="str">
            <v>19.726.675,72</v>
          </cell>
        </row>
        <row r="10">
          <cell r="D10" t="str">
            <v>1.202.024,21</v>
          </cell>
          <cell r="E10" t="str">
            <v>0,00</v>
          </cell>
          <cell r="F10" t="str">
            <v>1.202.024,21</v>
          </cell>
          <cell r="G10" t="str">
            <v>0,00</v>
          </cell>
          <cell r="H10" t="str">
            <v>0,00</v>
          </cell>
          <cell r="I10" t="str">
            <v>1.202.024,21</v>
          </cell>
          <cell r="J10" t="str">
            <v>0,00</v>
          </cell>
          <cell r="K10" t="str">
            <v>0,00</v>
          </cell>
        </row>
        <row r="11">
          <cell r="D11" t="str">
            <v>66.111,33</v>
          </cell>
          <cell r="E11" t="str">
            <v>0,00</v>
          </cell>
          <cell r="F11" t="str">
            <v>66.111,33</v>
          </cell>
          <cell r="G11" t="str">
            <v>66.111,33</v>
          </cell>
          <cell r="H11" t="str">
            <v>66.111,33</v>
          </cell>
          <cell r="I11" t="str">
            <v>0,00</v>
          </cell>
          <cell r="J11" t="str">
            <v>66.111,33</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13.975.647,82</v>
          </cell>
          <cell r="E21" t="str">
            <v>2.496.175,86</v>
          </cell>
          <cell r="F21" t="str">
            <v>16.471.823,68</v>
          </cell>
          <cell r="G21" t="str">
            <v>16.471.823,68</v>
          </cell>
          <cell r="H21" t="str">
            <v>14.804.842,13</v>
          </cell>
          <cell r="I21" t="str">
            <v>197.298,84</v>
          </cell>
          <cell r="J21" t="str">
            <v>1.666.981,55</v>
          </cell>
        </row>
        <row r="22">
          <cell r="D22" t="str">
            <v>36.337.281,72</v>
          </cell>
          <cell r="E22" t="str">
            <v>305.824,90</v>
          </cell>
          <cell r="F22" t="str">
            <v>36.643.106,62</v>
          </cell>
          <cell r="G22" t="str">
            <v>36.643.106,62</v>
          </cell>
          <cell r="H22" t="str">
            <v>31.286.675,81</v>
          </cell>
          <cell r="I22" t="str">
            <v>0,00</v>
          </cell>
          <cell r="J22" t="str">
            <v>5.356.430,81</v>
          </cell>
        </row>
        <row r="23">
          <cell r="D23" t="str">
            <v>144.242,91</v>
          </cell>
          <cell r="E23" t="str">
            <v>246.142,92</v>
          </cell>
          <cell r="F23" t="str">
            <v>390.385,83</v>
          </cell>
          <cell r="G23" t="str">
            <v>390.385,83</v>
          </cell>
          <cell r="H23" t="str">
            <v>375.350,81</v>
          </cell>
          <cell r="I23" t="str">
            <v>0,00</v>
          </cell>
          <cell r="J23" t="str">
            <v>15.035,01</v>
          </cell>
        </row>
        <row r="24">
          <cell r="D24" t="str">
            <v>0,00</v>
          </cell>
          <cell r="E24" t="str">
            <v>0,00</v>
          </cell>
          <cell r="F24" t="str">
            <v>0,00</v>
          </cell>
          <cell r="G24" t="str">
            <v>0,00</v>
          </cell>
          <cell r="H24" t="str">
            <v>0,00</v>
          </cell>
          <cell r="I24" t="str">
            <v>0,00</v>
          </cell>
          <cell r="J24" t="str">
            <v>0,00</v>
          </cell>
        </row>
        <row r="25">
          <cell r="D25" t="str">
            <v>37.170.416,98</v>
          </cell>
          <cell r="E25" t="str">
            <v>916.356,37</v>
          </cell>
          <cell r="F25" t="str">
            <v>38.086.773,35</v>
          </cell>
          <cell r="G25" t="str">
            <v>38.086.773,35</v>
          </cell>
          <cell r="H25" t="str">
            <v>7.202.705,86</v>
          </cell>
          <cell r="I25" t="str">
            <v>0,00</v>
          </cell>
          <cell r="J25" t="str">
            <v>30.884.067,49</v>
          </cell>
        </row>
        <row r="26">
          <cell r="D26" t="str">
            <v>4.463.080,35</v>
          </cell>
          <cell r="E26" t="str">
            <v>0,00</v>
          </cell>
          <cell r="F26" t="str">
            <v>4.463.080,35</v>
          </cell>
          <cell r="G26" t="str">
            <v>0,00</v>
          </cell>
          <cell r="H26" t="str">
            <v>0,00</v>
          </cell>
          <cell r="I26" t="str">
            <v>0,00</v>
          </cell>
          <cell r="J26" t="str">
            <v>0,00</v>
          </cell>
        </row>
        <row r="27">
          <cell r="D27" t="str">
            <v>1.261.163,20</v>
          </cell>
          <cell r="E27" t="str">
            <v>0,00</v>
          </cell>
          <cell r="F27" t="str">
            <v>1.261.163,20</v>
          </cell>
          <cell r="G27" t="str">
            <v>1.261.163,20</v>
          </cell>
          <cell r="H27" t="str">
            <v>1.261.163,20</v>
          </cell>
          <cell r="I27" t="str">
            <v>0,00</v>
          </cell>
          <cell r="J27" t="str">
            <v>0,00</v>
          </cell>
        </row>
      </sheetData>
      <sheetData sheetId="5">
        <row r="4">
          <cell r="D4" t="str">
            <v>91.592.089,48</v>
          </cell>
          <cell r="E4" t="str">
            <v>88.357.592,74</v>
          </cell>
        </row>
        <row r="5">
          <cell r="D5" t="str">
            <v>0,00</v>
          </cell>
          <cell r="E5" t="str">
            <v>66.111,33</v>
          </cell>
        </row>
        <row r="6">
          <cell r="D6" t="str">
            <v>0,00</v>
          </cell>
          <cell r="E6" t="str">
            <v>0,00</v>
          </cell>
        </row>
        <row r="8">
          <cell r="D8" t="str">
            <v>1.261.163,20</v>
          </cell>
          <cell r="E8" t="str">
            <v>0,00</v>
          </cell>
        </row>
        <row r="10">
          <cell r="F10" t="str">
            <v>0,00</v>
          </cell>
        </row>
        <row r="11">
          <cell r="F11" t="str">
            <v>0,00</v>
          </cell>
        </row>
        <row r="12">
          <cell r="F12" t="str">
            <v>0,00</v>
          </cell>
        </row>
      </sheetData>
      <sheetData sheetId="6">
        <row r="3">
          <cell r="D3" t="str">
            <v>41.692.112,33</v>
          </cell>
        </row>
        <row r="4">
          <cell r="D4" t="str">
            <v>37.922.514,86</v>
          </cell>
        </row>
        <row r="5">
          <cell r="D5" t="str">
            <v>490.594,06</v>
          </cell>
        </row>
        <row r="6">
          <cell r="D6" t="str">
            <v>3.279.003,40</v>
          </cell>
        </row>
        <row r="7">
          <cell r="D7" t="str">
            <v>0,00</v>
          </cell>
        </row>
        <row r="8">
          <cell r="D8" t="str">
            <v>0,00</v>
          </cell>
        </row>
        <row r="9">
          <cell r="D9" t="str">
            <v>0,00</v>
          </cell>
        </row>
        <row r="10">
          <cell r="D10" t="str">
            <v>34.578.564,98</v>
          </cell>
        </row>
        <row r="11">
          <cell r="D11" t="str">
            <v>20.798.706,00</v>
          </cell>
        </row>
        <row r="12">
          <cell r="D12" t="str">
            <v>175.972,78</v>
          </cell>
        </row>
        <row r="13">
          <cell r="D13" t="str">
            <v>13.603.886,20</v>
          </cell>
        </row>
        <row r="14">
          <cell r="D14" t="str">
            <v>0,00</v>
          </cell>
        </row>
        <row r="15">
          <cell r="D15" t="str">
            <v>0,00</v>
          </cell>
        </row>
        <row r="16">
          <cell r="D16" t="str">
            <v>1.609.412,16</v>
          </cell>
        </row>
        <row r="17">
          <cell r="D17" t="str">
            <v>0,00</v>
          </cell>
        </row>
        <row r="18">
          <cell r="D18" t="str">
            <v>8.722.959,51</v>
          </cell>
        </row>
        <row r="19">
          <cell r="D19" t="str">
            <v>8.722.959,51</v>
          </cell>
        </row>
        <row r="23">
          <cell r="D23" t="str">
            <v>69.102.187,58</v>
          </cell>
        </row>
        <row r="24">
          <cell r="D24" t="str">
            <v>54.930.737,81</v>
          </cell>
        </row>
        <row r="25">
          <cell r="D25" t="str">
            <v>3.826.887,23</v>
          </cell>
        </row>
        <row r="26">
          <cell r="D26" t="str">
            <v>10.344.562,53</v>
          </cell>
        </row>
        <row r="27">
          <cell r="D27" t="str">
            <v>0,00</v>
          </cell>
        </row>
        <row r="28">
          <cell r="D28" t="str">
            <v>69.944.904,80</v>
          </cell>
        </row>
        <row r="29">
          <cell r="D29" t="str">
            <v>67.624.998,08</v>
          </cell>
        </row>
        <row r="30">
          <cell r="D30" t="str">
            <v>2.319.906,72</v>
          </cell>
        </row>
        <row r="31">
          <cell r="D31" t="str">
            <v>0,00</v>
          </cell>
        </row>
        <row r="32">
          <cell r="D32" t="str">
            <v>0,00</v>
          </cell>
        </row>
        <row r="33">
          <cell r="D33" t="str">
            <v>-842.717,22</v>
          </cell>
        </row>
        <row r="34">
          <cell r="D34" t="str">
            <v>2.452.129,39</v>
          </cell>
        </row>
        <row r="35">
          <cell r="D35" t="str">
            <v>1.609.412,16</v>
          </cell>
        </row>
      </sheetData>
      <sheetData sheetId="7">
        <row r="5">
          <cell r="D5" t="str">
            <v>312.526,29</v>
          </cell>
          <cell r="E5" t="str">
            <v>0,00</v>
          </cell>
          <cell r="F5" t="str">
            <v>312.526,29</v>
          </cell>
          <cell r="G5" t="str">
            <v>312.526,29</v>
          </cell>
          <cell r="H5" t="str">
            <v>0,00</v>
          </cell>
        </row>
        <row r="6">
          <cell r="D6" t="str">
            <v>546.921,01</v>
          </cell>
          <cell r="E6" t="str">
            <v>0,00</v>
          </cell>
          <cell r="F6" t="str">
            <v>546.921,01</v>
          </cell>
          <cell r="G6" t="str">
            <v>546.921,01</v>
          </cell>
          <cell r="H6" t="str">
            <v>0,00</v>
          </cell>
        </row>
        <row r="7">
          <cell r="D7" t="str">
            <v>0,00</v>
          </cell>
          <cell r="E7" t="str">
            <v>0,00</v>
          </cell>
          <cell r="F7" t="str">
            <v>0,00</v>
          </cell>
          <cell r="G7" t="str">
            <v>0,00</v>
          </cell>
          <cell r="H7" t="str">
            <v>0,00</v>
          </cell>
        </row>
        <row r="8">
          <cell r="D8" t="str">
            <v>0,00</v>
          </cell>
          <cell r="E8" t="str">
            <v>0,00</v>
          </cell>
          <cell r="F8" t="str">
            <v>0,00</v>
          </cell>
          <cell r="G8" t="str">
            <v>0,00</v>
          </cell>
          <cell r="H8" t="str">
            <v>0,00</v>
          </cell>
        </row>
        <row r="9">
          <cell r="D9" t="str">
            <v>1.622.732,68</v>
          </cell>
          <cell r="E9" t="str">
            <v>13.699,51</v>
          </cell>
          <cell r="F9" t="str">
            <v>1.636.432,19</v>
          </cell>
          <cell r="G9" t="str">
            <v>1.460.459,41</v>
          </cell>
          <cell r="H9" t="str">
            <v>175.972,78</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1.185.248,61</v>
          </cell>
          <cell r="E22" t="str">
            <v>0,00</v>
          </cell>
          <cell r="F22" t="str">
            <v>0,00</v>
          </cell>
          <cell r="G22" t="str">
            <v>0,00</v>
          </cell>
          <cell r="H22" t="str">
            <v>1.185.248,61</v>
          </cell>
          <cell r="I22" t="str">
            <v>1.185.248,61</v>
          </cell>
          <cell r="J22" t="str">
            <v>0,00</v>
          </cell>
          <cell r="K22" t="str">
            <v>0,00</v>
          </cell>
          <cell r="L22" t="str">
            <v>0,00</v>
          </cell>
        </row>
        <row r="23">
          <cell r="D23" t="str">
            <v>13.952,23</v>
          </cell>
          <cell r="E23" t="str">
            <v>-633,96</v>
          </cell>
          <cell r="F23" t="str">
            <v>0,00</v>
          </cell>
          <cell r="G23" t="str">
            <v>0,00</v>
          </cell>
          <cell r="H23" t="str">
            <v>13.318,27</v>
          </cell>
          <cell r="I23" t="str">
            <v>10.705,18</v>
          </cell>
          <cell r="J23" t="str">
            <v>0,00</v>
          </cell>
          <cell r="K23" t="str">
            <v>0,00</v>
          </cell>
          <cell r="L23" t="str">
            <v>2.613,09</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3.118.914,41</v>
          </cell>
          <cell r="E25" t="str">
            <v>0,00</v>
          </cell>
          <cell r="F25" t="str">
            <v>0,00</v>
          </cell>
          <cell r="G25" t="str">
            <v>0,00</v>
          </cell>
          <cell r="H25" t="str">
            <v>3.118.914,41</v>
          </cell>
          <cell r="I25" t="str">
            <v>2.630.933,44</v>
          </cell>
          <cell r="J25" t="str">
            <v>0,00</v>
          </cell>
          <cell r="K25" t="str">
            <v>0,00</v>
          </cell>
          <cell r="L25" t="str">
            <v>487.980,97</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1761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row r="3">
          <cell r="D3" t="str">
            <v>0,00</v>
          </cell>
        </row>
        <row r="4">
          <cell r="L4" t="str">
            <v>9.070.301,25</v>
          </cell>
        </row>
        <row r="5">
          <cell r="D5" t="str">
            <v>21.316.276,59</v>
          </cell>
        </row>
        <row r="6">
          <cell r="D6" t="str">
            <v>65.012,82</v>
          </cell>
        </row>
        <row r="7">
          <cell r="D7" t="str">
            <v>3.507.744,49</v>
          </cell>
        </row>
        <row r="8">
          <cell r="D8" t="str">
            <v>3.131.802,04</v>
          </cell>
          <cell r="L8" t="str">
            <v>2.344.807,75</v>
          </cell>
        </row>
        <row r="9">
          <cell r="D9" t="str">
            <v>0,00</v>
          </cell>
          <cell r="L9" t="str">
            <v>14.195.280,45</v>
          </cell>
        </row>
        <row r="10">
          <cell r="D10" t="str">
            <v>3.141.230,91</v>
          </cell>
        </row>
        <row r="11">
          <cell r="D11" t="str">
            <v>4.208.404,96</v>
          </cell>
        </row>
        <row r="12">
          <cell r="D12" t="str">
            <v>7.262.081,38</v>
          </cell>
        </row>
        <row r="13">
          <cell r="D13" t="str">
            <v>0,00</v>
          </cell>
        </row>
        <row r="14">
          <cell r="D14" t="str">
            <v>1.967.790,87</v>
          </cell>
        </row>
        <row r="15">
          <cell r="D15" t="str">
            <v>0,00</v>
          </cell>
        </row>
        <row r="16">
          <cell r="D16" t="str">
            <v>164.381,53</v>
          </cell>
        </row>
        <row r="17">
          <cell r="D17" t="str">
            <v>1.880.120,73</v>
          </cell>
        </row>
        <row r="18">
          <cell r="D18" t="str">
            <v>-76.711,38</v>
          </cell>
        </row>
        <row r="19">
          <cell r="D19" t="str">
            <v>0,00</v>
          </cell>
        </row>
        <row r="21">
          <cell r="L21" t="str">
            <v>0,00</v>
          </cell>
        </row>
        <row r="22">
          <cell r="L22" t="str">
            <v>0,00</v>
          </cell>
        </row>
        <row r="23">
          <cell r="L23" t="str">
            <v>0,00</v>
          </cell>
        </row>
        <row r="24">
          <cell r="L24" t="str">
            <v>0,00</v>
          </cell>
        </row>
        <row r="25">
          <cell r="L25" t="str">
            <v>0,00</v>
          </cell>
        </row>
        <row r="26">
          <cell r="L26" t="str">
            <v>0,00</v>
          </cell>
        </row>
        <row r="28">
          <cell r="L28" t="str">
            <v>90.924,04</v>
          </cell>
        </row>
        <row r="29">
          <cell r="D29" t="str">
            <v>0,00</v>
          </cell>
          <cell r="L29" t="str">
            <v>0,00</v>
          </cell>
        </row>
        <row r="30">
          <cell r="D30" t="str">
            <v>0,00</v>
          </cell>
          <cell r="L30" t="str">
            <v>0,00</v>
          </cell>
        </row>
        <row r="31">
          <cell r="D31" t="str">
            <v>0,00</v>
          </cell>
          <cell r="L31" t="str">
            <v>0,00</v>
          </cell>
        </row>
        <row r="32">
          <cell r="D32" t="str">
            <v>0,00</v>
          </cell>
        </row>
        <row r="33">
          <cell r="D33" t="str">
            <v>0,00</v>
          </cell>
          <cell r="L33" t="str">
            <v>3.516.755,78</v>
          </cell>
        </row>
        <row r="34">
          <cell r="D34" t="str">
            <v>0,00</v>
          </cell>
        </row>
        <row r="36">
          <cell r="D36" t="str">
            <v>0,00</v>
          </cell>
          <cell r="L36" t="str">
            <v>0,00</v>
          </cell>
        </row>
        <row r="37">
          <cell r="D37" t="str">
            <v>0,00</v>
          </cell>
        </row>
        <row r="38">
          <cell r="D38" t="str">
            <v>0,00</v>
          </cell>
        </row>
        <row r="39">
          <cell r="D39" t="str">
            <v>0,00</v>
          </cell>
          <cell r="L39" t="str">
            <v>0,00</v>
          </cell>
        </row>
        <row r="40">
          <cell r="D40" t="str">
            <v>0,00</v>
          </cell>
          <cell r="L40" t="str">
            <v>79.776,80</v>
          </cell>
        </row>
        <row r="41">
          <cell r="D41" t="str">
            <v>0,00</v>
          </cell>
          <cell r="L41" t="str">
            <v>0,00</v>
          </cell>
        </row>
        <row r="42">
          <cell r="D42" t="str">
            <v>12.263,55</v>
          </cell>
          <cell r="L42" t="str">
            <v>902.317,25</v>
          </cell>
        </row>
        <row r="43">
          <cell r="D43" t="str">
            <v>0,00</v>
          </cell>
        </row>
        <row r="45">
          <cell r="D45" t="str">
            <v>9.125.006,66</v>
          </cell>
          <cell r="L45" t="str">
            <v>1.078.250,24</v>
          </cell>
        </row>
        <row r="46">
          <cell r="L46" t="str">
            <v>0,00</v>
          </cell>
        </row>
        <row r="48">
          <cell r="D48" t="str">
            <v>0,00</v>
          </cell>
          <cell r="L48" t="str">
            <v>137.603,96</v>
          </cell>
        </row>
        <row r="49">
          <cell r="L49" t="str">
            <v>0,00</v>
          </cell>
        </row>
        <row r="50">
          <cell r="L50" t="str">
            <v>2.607.385,12</v>
          </cell>
        </row>
        <row r="51">
          <cell r="D51" t="str">
            <v>0,00</v>
          </cell>
          <cell r="L51" t="str">
            <v>0,00</v>
          </cell>
        </row>
        <row r="52">
          <cell r="D52" t="str">
            <v>197,61</v>
          </cell>
        </row>
        <row r="53">
          <cell r="D53" t="str">
            <v>-84.735,04</v>
          </cell>
        </row>
        <row r="55">
          <cell r="D55" t="str">
            <v>0,00</v>
          </cell>
        </row>
        <row r="56">
          <cell r="D56" t="str">
            <v>0,00</v>
          </cell>
        </row>
        <row r="57">
          <cell r="D57" t="str">
            <v>837.411,31</v>
          </cell>
        </row>
        <row r="58">
          <cell r="D58" t="str">
            <v>0,00</v>
          </cell>
        </row>
        <row r="59">
          <cell r="D59" t="str">
            <v>455.249,93</v>
          </cell>
        </row>
        <row r="60">
          <cell r="D60" t="str">
            <v>0,00</v>
          </cell>
        </row>
        <row r="61">
          <cell r="D61" t="str">
            <v>393.941,15</v>
          </cell>
        </row>
      </sheetData>
      <sheetData sheetId="3">
        <row r="4">
          <cell r="D4" t="str">
            <v>0,00</v>
          </cell>
          <cell r="L4" t="str">
            <v>1.630.692,03</v>
          </cell>
        </row>
        <row r="5">
          <cell r="D5" t="str">
            <v>15.591.113,93</v>
          </cell>
          <cell r="L5" t="str">
            <v>125.389,42</v>
          </cell>
        </row>
        <row r="6">
          <cell r="D6" t="str">
            <v>22.673,03</v>
          </cell>
          <cell r="L6" t="str">
            <v>0,00</v>
          </cell>
        </row>
        <row r="7">
          <cell r="D7" t="str">
            <v>3.623,93</v>
          </cell>
          <cell r="L7" t="str">
            <v>0,00</v>
          </cell>
        </row>
        <row r="8">
          <cell r="D8" t="str">
            <v>3.014.265,38</v>
          </cell>
          <cell r="L8" t="str">
            <v>0,00</v>
          </cell>
        </row>
        <row r="9">
          <cell r="D9" t="str">
            <v>0,00</v>
          </cell>
          <cell r="L9" t="str">
            <v>0,00</v>
          </cell>
        </row>
        <row r="10">
          <cell r="D10" t="str">
            <v>0,00</v>
          </cell>
          <cell r="L10" t="str">
            <v>17.099.658,82</v>
          </cell>
        </row>
        <row r="11">
          <cell r="D11" t="str">
            <v>482.929,44</v>
          </cell>
          <cell r="L11" t="str">
            <v>0,00</v>
          </cell>
        </row>
        <row r="12">
          <cell r="D12" t="str">
            <v>0,00</v>
          </cell>
          <cell r="L12" t="str">
            <v>12.388,68</v>
          </cell>
        </row>
        <row r="13">
          <cell r="D13" t="str">
            <v>95.422,74</v>
          </cell>
          <cell r="L13" t="str">
            <v>0,00</v>
          </cell>
        </row>
        <row r="17">
          <cell r="D17" t="str">
            <v>0,00</v>
          </cell>
        </row>
        <row r="18">
          <cell r="D18" t="str">
            <v>0,00</v>
          </cell>
          <cell r="L18" t="str">
            <v>0,00</v>
          </cell>
        </row>
        <row r="19">
          <cell r="D19" t="str">
            <v>0,00</v>
          </cell>
          <cell r="L19" t="str">
            <v>0,00</v>
          </cell>
        </row>
        <row r="20">
          <cell r="D20" t="str">
            <v>0,00</v>
          </cell>
          <cell r="L20" t="str">
            <v>53.500,61</v>
          </cell>
        </row>
        <row r="23">
          <cell r="D23" t="str">
            <v>0,00</v>
          </cell>
          <cell r="L23" t="str">
            <v>0,00</v>
          </cell>
        </row>
        <row r="26">
          <cell r="D26" t="str">
            <v>106.171,35</v>
          </cell>
          <cell r="L26" t="str">
            <v>629,09</v>
          </cell>
        </row>
      </sheetData>
      <sheetData sheetId="4">
        <row r="5">
          <cell r="D5" t="str">
            <v>15.884.749,92</v>
          </cell>
          <cell r="E5" t="str">
            <v>79.525,92</v>
          </cell>
          <cell r="F5" t="str">
            <v>15.964.275,84</v>
          </cell>
          <cell r="G5" t="str">
            <v>15.100.525,28</v>
          </cell>
          <cell r="H5" t="str">
            <v>15.100.525,28</v>
          </cell>
          <cell r="I5" t="str">
            <v>863.750,56</v>
          </cell>
          <cell r="J5" t="str">
            <v>15.100.525,28</v>
          </cell>
          <cell r="K5" t="str">
            <v>0,00</v>
          </cell>
        </row>
        <row r="6">
          <cell r="D6" t="str">
            <v>3.083.192,10</v>
          </cell>
          <cell r="E6" t="str">
            <v>559.866,82</v>
          </cell>
          <cell r="F6" t="str">
            <v>3.643.058,91</v>
          </cell>
          <cell r="G6" t="str">
            <v>3.461.517,19</v>
          </cell>
          <cell r="H6" t="str">
            <v>3.461.517,19</v>
          </cell>
          <cell r="I6" t="str">
            <v>181.541,72</v>
          </cell>
          <cell r="J6" t="str">
            <v>2.608.242,28</v>
          </cell>
          <cell r="K6" t="str">
            <v>853.274,91</v>
          </cell>
        </row>
        <row r="7">
          <cell r="D7" t="str">
            <v>6.010,12</v>
          </cell>
          <cell r="E7" t="str">
            <v>2.235,77</v>
          </cell>
          <cell r="F7" t="str">
            <v>8.245,89</v>
          </cell>
          <cell r="G7" t="str">
            <v>4.645,82</v>
          </cell>
          <cell r="H7" t="str">
            <v>4.645,82</v>
          </cell>
          <cell r="I7" t="str">
            <v>3.600,06</v>
          </cell>
          <cell r="J7" t="str">
            <v>4.447,49</v>
          </cell>
          <cell r="K7" t="str">
            <v>198,33</v>
          </cell>
        </row>
        <row r="8">
          <cell r="D8" t="str">
            <v>294.495,93</v>
          </cell>
          <cell r="E8" t="str">
            <v>368.841,13</v>
          </cell>
          <cell r="F8" t="str">
            <v>663.337,06</v>
          </cell>
          <cell r="G8" t="str">
            <v>526.925,34</v>
          </cell>
          <cell r="H8" t="str">
            <v>526.925,34</v>
          </cell>
          <cell r="I8" t="str">
            <v>136.411,72</v>
          </cell>
          <cell r="J8" t="str">
            <v>486.338,99</v>
          </cell>
          <cell r="K8" t="str">
            <v>40.586,35</v>
          </cell>
        </row>
        <row r="9">
          <cell r="D9" t="str">
            <v>7.200.125,01</v>
          </cell>
          <cell r="E9" t="str">
            <v>3.574.567,57</v>
          </cell>
          <cell r="F9" t="str">
            <v>10.774.692,58</v>
          </cell>
          <cell r="G9" t="str">
            <v>6.716.466,53</v>
          </cell>
          <cell r="H9" t="str">
            <v>6.716.466,53</v>
          </cell>
          <cell r="I9" t="str">
            <v>4.058.226,05</v>
          </cell>
          <cell r="J9" t="str">
            <v>4.129.223,61</v>
          </cell>
          <cell r="K9" t="str">
            <v>2.587.242,92</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4.026.781,10</v>
          </cell>
          <cell r="E21" t="str">
            <v>74.303,13</v>
          </cell>
          <cell r="F21" t="str">
            <v>4.101.084,23</v>
          </cell>
          <cell r="G21" t="str">
            <v>4.144.910,03</v>
          </cell>
          <cell r="H21" t="str">
            <v>3.648.552,16</v>
          </cell>
          <cell r="I21" t="str">
            <v>0,00</v>
          </cell>
          <cell r="J21" t="str">
            <v>496.357,87</v>
          </cell>
        </row>
        <row r="22">
          <cell r="D22" t="str">
            <v>16.293.438,15</v>
          </cell>
          <cell r="E22" t="str">
            <v>47.347,73</v>
          </cell>
          <cell r="F22" t="str">
            <v>16.340.785,88</v>
          </cell>
          <cell r="G22" t="str">
            <v>17.038.170,28</v>
          </cell>
          <cell r="H22" t="str">
            <v>13.711.772,63</v>
          </cell>
          <cell r="I22" t="str">
            <v>0,00</v>
          </cell>
          <cell r="J22" t="str">
            <v>3.326.397,65</v>
          </cell>
        </row>
        <row r="23">
          <cell r="D23" t="str">
            <v>114.192,30</v>
          </cell>
          <cell r="E23" t="str">
            <v>0,00</v>
          </cell>
          <cell r="F23" t="str">
            <v>114.192,30</v>
          </cell>
          <cell r="G23" t="str">
            <v>158.438,81</v>
          </cell>
          <cell r="H23" t="str">
            <v>158.426,79</v>
          </cell>
          <cell r="I23" t="str">
            <v>0,00</v>
          </cell>
          <cell r="J23" t="str">
            <v>12,02</v>
          </cell>
        </row>
        <row r="24">
          <cell r="D24" t="str">
            <v>0,00</v>
          </cell>
          <cell r="E24" t="str">
            <v>0,00</v>
          </cell>
          <cell r="F24" t="str">
            <v>0,00</v>
          </cell>
          <cell r="G24" t="str">
            <v>0,00</v>
          </cell>
          <cell r="H24" t="str">
            <v>0,00</v>
          </cell>
          <cell r="I24" t="str">
            <v>0,00</v>
          </cell>
          <cell r="J24" t="str">
            <v>0,00</v>
          </cell>
        </row>
        <row r="25">
          <cell r="D25" t="str">
            <v>6.034.161,53</v>
          </cell>
          <cell r="E25" t="str">
            <v>2.822.322,79</v>
          </cell>
          <cell r="F25" t="str">
            <v>8.856.484,32</v>
          </cell>
          <cell r="G25" t="str">
            <v>6.175.549,63</v>
          </cell>
          <cell r="H25" t="str">
            <v>1.024.948,01</v>
          </cell>
          <cell r="I25" t="str">
            <v>0,00</v>
          </cell>
          <cell r="J25" t="str">
            <v>5.150.601,61</v>
          </cell>
        </row>
        <row r="26">
          <cell r="D26" t="str">
            <v>0,00</v>
          </cell>
          <cell r="E26" t="str">
            <v>1.641.063,55</v>
          </cell>
          <cell r="F26" t="str">
            <v>1.641.063,55</v>
          </cell>
          <cell r="G26" t="str">
            <v>0,00</v>
          </cell>
          <cell r="H26" t="str">
            <v>0,00</v>
          </cell>
          <cell r="I26" t="str">
            <v>0,00</v>
          </cell>
          <cell r="J26" t="str">
            <v>0,00</v>
          </cell>
        </row>
        <row r="27">
          <cell r="D27" t="str">
            <v>0,00</v>
          </cell>
          <cell r="E27" t="str">
            <v>0,00</v>
          </cell>
          <cell r="F27" t="str">
            <v>0,00</v>
          </cell>
          <cell r="G27" t="str">
            <v>1.078.251,78</v>
          </cell>
          <cell r="H27" t="str">
            <v>1.078.251,78</v>
          </cell>
          <cell r="I27" t="str">
            <v>0,00</v>
          </cell>
          <cell r="J27" t="str">
            <v>0,00</v>
          </cell>
        </row>
      </sheetData>
      <sheetData sheetId="5">
        <row r="4">
          <cell r="D4" t="str">
            <v>27.517.068,74</v>
          </cell>
          <cell r="E4" t="str">
            <v>25.810.080,18</v>
          </cell>
        </row>
        <row r="5">
          <cell r="D5" t="str">
            <v>0,00</v>
          </cell>
          <cell r="E5" t="str">
            <v>0,00</v>
          </cell>
        </row>
        <row r="6">
          <cell r="D6" t="str">
            <v>0,00</v>
          </cell>
          <cell r="E6" t="str">
            <v>0,00</v>
          </cell>
        </row>
        <row r="8">
          <cell r="D8" t="str">
            <v>1.078.251,78</v>
          </cell>
          <cell r="E8" t="str">
            <v>0,00</v>
          </cell>
        </row>
        <row r="10">
          <cell r="F10" t="str">
            <v>0,00</v>
          </cell>
        </row>
        <row r="11">
          <cell r="F11" t="str">
            <v>0,00</v>
          </cell>
        </row>
        <row r="12">
          <cell r="F12" t="str">
            <v>0,00</v>
          </cell>
        </row>
      </sheetData>
      <sheetData sheetId="6">
        <row r="3">
          <cell r="D3" t="str">
            <v>9.931.185,64</v>
          </cell>
        </row>
        <row r="4">
          <cell r="D4" t="str">
            <v>8.973.369,15</v>
          </cell>
        </row>
        <row r="5">
          <cell r="D5" t="str">
            <v>151.636,88</v>
          </cell>
        </row>
        <row r="6">
          <cell r="D6" t="str">
            <v>837.612,54</v>
          </cell>
        </row>
        <row r="7">
          <cell r="D7" t="str">
            <v>0,00</v>
          </cell>
        </row>
        <row r="8">
          <cell r="D8" t="str">
            <v>31.432,93</v>
          </cell>
        </row>
        <row r="9">
          <cell r="D9" t="str">
            <v>0,00</v>
          </cell>
        </row>
        <row r="10">
          <cell r="D10" t="str">
            <v>5.768.001,83</v>
          </cell>
        </row>
        <row r="11">
          <cell r="D11" t="str">
            <v>3.481.302,51</v>
          </cell>
        </row>
        <row r="12">
          <cell r="D12" t="str">
            <v>12.824,11</v>
          </cell>
        </row>
        <row r="13">
          <cell r="D13" t="str">
            <v>2.273.875,21</v>
          </cell>
        </row>
        <row r="14">
          <cell r="D14" t="str">
            <v>0,00</v>
          </cell>
        </row>
        <row r="15">
          <cell r="D15" t="str">
            <v>0,00</v>
          </cell>
        </row>
        <row r="16">
          <cell r="D16" t="str">
            <v>455.249,93</v>
          </cell>
        </row>
        <row r="17">
          <cell r="D17" t="str">
            <v>2.407.053,48</v>
          </cell>
        </row>
        <row r="18">
          <cell r="D18" t="str">
            <v>2.211.380,26</v>
          </cell>
        </row>
        <row r="19">
          <cell r="D19" t="str">
            <v>4.618.433,74</v>
          </cell>
        </row>
        <row r="23">
          <cell r="D23" t="str">
            <v>23.823.624,00</v>
          </cell>
        </row>
        <row r="24">
          <cell r="D24" t="str">
            <v>19.621.951,37</v>
          </cell>
        </row>
        <row r="25">
          <cell r="D25" t="str">
            <v>2.028.852,85</v>
          </cell>
        </row>
        <row r="26">
          <cell r="D26" t="str">
            <v>2.172.819,79</v>
          </cell>
        </row>
        <row r="27">
          <cell r="D27" t="str">
            <v>0,00</v>
          </cell>
        </row>
        <row r="28">
          <cell r="D28" t="str">
            <v>23.999.436,78</v>
          </cell>
        </row>
        <row r="29">
          <cell r="D29" t="str">
            <v>22.328.777,66</v>
          </cell>
        </row>
        <row r="30">
          <cell r="D30" t="str">
            <v>1.670.659,12</v>
          </cell>
        </row>
        <row r="31">
          <cell r="D31" t="str">
            <v>0,00</v>
          </cell>
        </row>
        <row r="32">
          <cell r="D32" t="str">
            <v>0,00</v>
          </cell>
        </row>
        <row r="33">
          <cell r="D33" t="str">
            <v>-175.812,78</v>
          </cell>
        </row>
        <row r="34">
          <cell r="D34" t="str">
            <v>631.062,71</v>
          </cell>
        </row>
        <row r="35">
          <cell r="D35" t="str">
            <v>455.249,93</v>
          </cell>
        </row>
      </sheetData>
      <sheetData sheetId="7">
        <row r="5">
          <cell r="D5" t="str">
            <v>0,00</v>
          </cell>
          <cell r="E5" t="str">
            <v>0,00</v>
          </cell>
          <cell r="F5" t="str">
            <v>0,00</v>
          </cell>
          <cell r="G5" t="str">
            <v>0,00</v>
          </cell>
          <cell r="H5" t="str">
            <v>0,00</v>
          </cell>
        </row>
        <row r="6">
          <cell r="D6" t="str">
            <v>732.061,03</v>
          </cell>
          <cell r="E6" t="str">
            <v>2.353,26</v>
          </cell>
          <cell r="F6" t="str">
            <v>734.414,28</v>
          </cell>
          <cell r="G6" t="str">
            <v>727.943,24</v>
          </cell>
          <cell r="H6" t="str">
            <v>6.471,04</v>
          </cell>
        </row>
        <row r="7">
          <cell r="D7" t="str">
            <v>72,55</v>
          </cell>
          <cell r="E7" t="str">
            <v>-40,83</v>
          </cell>
          <cell r="F7" t="str">
            <v>31,72</v>
          </cell>
          <cell r="G7" t="str">
            <v>31,72</v>
          </cell>
          <cell r="H7" t="str">
            <v>0,00</v>
          </cell>
        </row>
        <row r="8">
          <cell r="D8" t="str">
            <v>33.055,46</v>
          </cell>
          <cell r="E8" t="str">
            <v>0,00</v>
          </cell>
          <cell r="F8" t="str">
            <v>33.055,46</v>
          </cell>
          <cell r="G8" t="str">
            <v>33.055,46</v>
          </cell>
          <cell r="H8" t="str">
            <v>0,00</v>
          </cell>
        </row>
        <row r="9">
          <cell r="D9" t="str">
            <v>915.982,22</v>
          </cell>
          <cell r="E9" t="str">
            <v>-0,44</v>
          </cell>
          <cell r="F9" t="str">
            <v>915.981,78</v>
          </cell>
          <cell r="G9" t="str">
            <v>909.628,71</v>
          </cell>
          <cell r="H9" t="str">
            <v>6.353,07</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549.677,39</v>
          </cell>
          <cell r="E21" t="str">
            <v>0,00</v>
          </cell>
          <cell r="F21" t="str">
            <v>21.035,41</v>
          </cell>
          <cell r="G21" t="str">
            <v>0,00</v>
          </cell>
          <cell r="H21" t="str">
            <v>528.641,98</v>
          </cell>
          <cell r="I21" t="str">
            <v>527.255,69</v>
          </cell>
          <cell r="J21" t="str">
            <v>0,00</v>
          </cell>
          <cell r="K21" t="str">
            <v>0,00</v>
          </cell>
          <cell r="L21" t="str">
            <v>1.386,29</v>
          </cell>
        </row>
        <row r="22">
          <cell r="D22" t="str">
            <v>750.877,74</v>
          </cell>
          <cell r="E22" t="str">
            <v>0,00</v>
          </cell>
          <cell r="F22" t="str">
            <v>17.609,65</v>
          </cell>
          <cell r="G22" t="str">
            <v>0,00</v>
          </cell>
          <cell r="H22" t="str">
            <v>733.268,09</v>
          </cell>
          <cell r="I22" t="str">
            <v>583.522,65</v>
          </cell>
          <cell r="J22" t="str">
            <v>0,00</v>
          </cell>
          <cell r="K22" t="str">
            <v>0,00</v>
          </cell>
          <cell r="L22" t="str">
            <v>149.745,44</v>
          </cell>
        </row>
        <row r="23">
          <cell r="D23" t="str">
            <v>1.957,48</v>
          </cell>
          <cell r="E23" t="str">
            <v>0,00</v>
          </cell>
          <cell r="F23" t="str">
            <v>0,00</v>
          </cell>
          <cell r="G23" t="str">
            <v>0,00</v>
          </cell>
          <cell r="H23" t="str">
            <v>1.957,48</v>
          </cell>
          <cell r="I23" t="str">
            <v>1.452,33</v>
          </cell>
          <cell r="J23" t="str">
            <v>0,00</v>
          </cell>
          <cell r="K23" t="str">
            <v>0,00</v>
          </cell>
          <cell r="L23" t="str">
            <v>505,15</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981.207,39</v>
          </cell>
          <cell r="E25" t="str">
            <v>0,00</v>
          </cell>
          <cell r="F25" t="str">
            <v>64.585,21</v>
          </cell>
          <cell r="G25" t="str">
            <v>0,00</v>
          </cell>
          <cell r="H25" t="str">
            <v>916.622,18</v>
          </cell>
          <cell r="I25" t="str">
            <v>916.622,18</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2126</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201"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tabSelected="1" zoomScale="75" zoomScaleNormal="75" workbookViewId="0" topLeftCell="A1"/>
  </sheetViews>
  <sheetFormatPr defaultColWidth="11.421875" defaultRowHeight="12.75"/>
  <cols>
    <col min="1" max="1" width="63.7109375" style="3" customWidth="1"/>
    <col min="2" max="2" width="86.7109375" style="91" customWidth="1"/>
    <col min="3" max="16384" width="11.421875" style="3" customWidth="1"/>
  </cols>
  <sheetData>
    <row r="1" spans="1:207" ht="60" customHeight="1">
      <c r="A1" s="5"/>
      <c r="B1" s="7" t="str">
        <f>"EJERCICIO    "&amp;Balance!K1</f>
        <v>EJERCICIO    1995</v>
      </c>
      <c r="C1" s="9"/>
      <c r="D1" s="9"/>
      <c r="E1" s="9"/>
      <c r="F1" s="9"/>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row>
    <row r="2" spans="1:207" ht="12.95" customHeight="1" thickBot="1">
      <c r="A2" s="5"/>
      <c r="B2" s="6"/>
      <c r="C2" s="9"/>
      <c r="D2" s="9"/>
      <c r="E2" s="9"/>
      <c r="F2" s="9"/>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row>
    <row r="3" spans="1:207" ht="33" customHeight="1">
      <c r="A3" s="75" t="str">
        <f>"                                            "&amp;"UNIVERSIDADES"</f>
        <v xml:space="preserve">                                            UNIVERSIDADES</v>
      </c>
      <c r="B3" s="10"/>
      <c r="C3" s="9"/>
      <c r="D3" s="9"/>
      <c r="E3" s="9"/>
      <c r="F3" s="9"/>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row>
    <row r="4" spans="1:207" ht="20.1" customHeight="1">
      <c r="A4" s="14" t="str">
        <f>"AGREGADO"</f>
        <v>AGREGADO</v>
      </c>
      <c r="B4" s="79"/>
      <c r="C4" s="9"/>
      <c r="D4" s="9"/>
      <c r="E4" s="9"/>
      <c r="F4" s="9"/>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ht="18" customHeight="1" thickBot="1">
      <c r="A5" s="18"/>
      <c r="B5" s="47"/>
      <c r="C5" s="9"/>
      <c r="D5" s="9"/>
      <c r="E5" s="9"/>
      <c r="F5" s="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ht="15" customHeight="1">
      <c r="A6" s="20"/>
      <c r="B6" s="21"/>
      <c r="C6" s="9"/>
      <c r="D6" s="9"/>
      <c r="E6" s="9"/>
      <c r="F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ht="12.95" customHeight="1" thickBot="1">
      <c r="A7" s="20"/>
      <c r="B7" s="21"/>
      <c r="C7" s="21"/>
      <c r="D7" s="21"/>
      <c r="E7" s="21"/>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ht="33" customHeight="1">
      <c r="A8" s="80" t="s">
        <v>32</v>
      </c>
      <c r="B8" s="81"/>
      <c r="C8" s="21"/>
      <c r="D8" s="21"/>
      <c r="E8" s="21"/>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ht="12.95" customHeight="1">
      <c r="A9" s="21"/>
      <c r="B9" s="21"/>
      <c r="C9" s="21"/>
      <c r="D9" s="21"/>
      <c r="E9" s="21"/>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 ht="18" customHeight="1">
      <c r="A10" s="1" t="s">
        <v>33</v>
      </c>
      <c r="B10" s="82" t="s">
        <v>363</v>
      </c>
    </row>
    <row r="11" spans="1:2" ht="18" customHeight="1">
      <c r="A11" s="1" t="s">
        <v>34</v>
      </c>
      <c r="B11" s="82" t="s">
        <v>56</v>
      </c>
    </row>
    <row r="12" spans="1:2" ht="18" customHeight="1">
      <c r="A12" s="1" t="s">
        <v>43</v>
      </c>
      <c r="B12" s="82" t="s">
        <v>364</v>
      </c>
    </row>
    <row r="13" spans="1:2" ht="18" customHeight="1">
      <c r="A13" s="1" t="s">
        <v>400</v>
      </c>
      <c r="B13" s="196">
        <f>COUNTA('Entidades agregadas'!A14:A120)</f>
        <v>4</v>
      </c>
    </row>
    <row r="14" spans="1:2" ht="18" customHeight="1">
      <c r="A14" s="1" t="s">
        <v>401</v>
      </c>
      <c r="B14" s="196"/>
    </row>
    <row r="15" spans="1:2" ht="12.95" customHeight="1" thickBot="1">
      <c r="A15" s="83"/>
      <c r="B15" s="84"/>
    </row>
    <row r="16" spans="1:2" ht="12.95" customHeight="1">
      <c r="A16" s="1"/>
      <c r="B16" s="85"/>
    </row>
    <row r="17" spans="1:2" ht="12.95" customHeight="1">
      <c r="A17" s="1"/>
      <c r="B17" s="85"/>
    </row>
    <row r="18" spans="1:2" ht="12.95" customHeight="1">
      <c r="A18" s="1"/>
      <c r="B18" s="85"/>
    </row>
    <row r="19" spans="1:2" ht="12.95" customHeight="1" thickBot="1">
      <c r="A19" s="1"/>
      <c r="B19" s="85"/>
    </row>
    <row r="20" spans="1:2" ht="33" customHeight="1">
      <c r="A20" s="80" t="s">
        <v>35</v>
      </c>
      <c r="B20" s="81"/>
    </row>
    <row r="21" ht="12.95" customHeight="1">
      <c r="B21" s="3"/>
    </row>
    <row r="22" spans="1:2" ht="18" customHeight="1">
      <c r="A22" s="1" t="s">
        <v>36</v>
      </c>
      <c r="B22" s="82" t="s">
        <v>44</v>
      </c>
    </row>
    <row r="23" spans="1:2" ht="18" customHeight="1">
      <c r="A23" s="1" t="s">
        <v>37</v>
      </c>
      <c r="B23" s="82" t="s">
        <v>439</v>
      </c>
    </row>
    <row r="24" spans="1:2" ht="12.95" customHeight="1" thickBot="1">
      <c r="A24" s="83"/>
      <c r="B24" s="84"/>
    </row>
    <row r="25" spans="1:2" ht="12.95" customHeight="1">
      <c r="A25" s="1"/>
      <c r="B25" s="85"/>
    </row>
    <row r="26" spans="1:2" ht="12.95" customHeight="1">
      <c r="A26" s="1"/>
      <c r="B26" s="85"/>
    </row>
    <row r="27" spans="1:2" ht="12.95" customHeight="1">
      <c r="A27" s="1"/>
      <c r="B27" s="85"/>
    </row>
    <row r="28" spans="1:2" ht="12.95" customHeight="1" thickBot="1">
      <c r="A28" s="86"/>
      <c r="B28" s="87"/>
    </row>
    <row r="29" spans="1:2" ht="33" customHeight="1">
      <c r="A29" s="80" t="s">
        <v>38</v>
      </c>
      <c r="B29" s="81"/>
    </row>
    <row r="30" ht="12.95" customHeight="1">
      <c r="B30" s="3"/>
    </row>
    <row r="31" spans="1:2" ht="12.95" customHeight="1">
      <c r="A31" s="88"/>
      <c r="B31" s="228" t="s">
        <v>367</v>
      </c>
    </row>
    <row r="32" spans="1:2" ht="18" customHeight="1">
      <c r="A32" s="88"/>
      <c r="B32" s="228"/>
    </row>
    <row r="33" spans="1:2" ht="18" customHeight="1">
      <c r="A33" s="88"/>
      <c r="B33" s="228"/>
    </row>
    <row r="34" spans="1:2" ht="18" customHeight="1">
      <c r="A34" s="88"/>
      <c r="B34" s="228"/>
    </row>
    <row r="35" spans="1:2" ht="18" customHeight="1">
      <c r="A35" s="88"/>
      <c r="B35" s="228"/>
    </row>
    <row r="36" spans="1:2" ht="18" customHeight="1">
      <c r="A36" s="88"/>
      <c r="B36" s="228"/>
    </row>
    <row r="37" spans="1:2" ht="13.5" customHeight="1" thickBot="1">
      <c r="A37" s="83"/>
      <c r="B37" s="89"/>
    </row>
    <row r="38" spans="1:2" ht="12.95" customHeight="1">
      <c r="A38" s="88"/>
      <c r="B38" s="82"/>
    </row>
    <row r="39" spans="1:2" ht="12.95" customHeight="1">
      <c r="A39" s="88"/>
      <c r="B39" s="82"/>
    </row>
    <row r="40" spans="1:2" ht="12.95" customHeight="1">
      <c r="A40" s="88"/>
      <c r="B40" s="82"/>
    </row>
    <row r="41" spans="1:2" ht="12.95" customHeight="1" thickBot="1">
      <c r="A41" s="88"/>
      <c r="B41" s="87"/>
    </row>
    <row r="42" spans="1:2" ht="33" customHeight="1">
      <c r="A42" s="80" t="s">
        <v>39</v>
      </c>
      <c r="B42" s="81"/>
    </row>
    <row r="43" ht="12.95" customHeight="1">
      <c r="B43" s="3"/>
    </row>
    <row r="44" spans="1:2" ht="18" customHeight="1">
      <c r="A44" s="1"/>
      <c r="B44" s="228" t="s">
        <v>365</v>
      </c>
    </row>
    <row r="45" spans="1:2" ht="18" customHeight="1">
      <c r="A45" s="86"/>
      <c r="B45" s="228"/>
    </row>
    <row r="46" spans="1:2" ht="18" customHeight="1">
      <c r="A46" s="86"/>
      <c r="B46" s="228"/>
    </row>
    <row r="47" spans="1:2" ht="18" customHeight="1">
      <c r="A47" s="86"/>
      <c r="B47" s="228"/>
    </row>
    <row r="48" spans="1:2" ht="18" customHeight="1">
      <c r="A48" s="86"/>
      <c r="B48" s="228"/>
    </row>
    <row r="49" spans="1:2" ht="18" customHeight="1">
      <c r="A49" s="86"/>
      <c r="B49" s="228"/>
    </row>
    <row r="50" spans="1:2" ht="18" customHeight="1">
      <c r="A50" s="86"/>
      <c r="B50" s="228"/>
    </row>
    <row r="51" spans="1:2" ht="18" customHeight="1">
      <c r="A51" s="86"/>
      <c r="B51" s="228"/>
    </row>
    <row r="52" spans="1:2" ht="12.95" customHeight="1" thickBot="1">
      <c r="A52" s="90"/>
      <c r="B52" s="90"/>
    </row>
    <row r="54" ht="18" customHeight="1">
      <c r="A54" s="63" t="s">
        <v>424</v>
      </c>
    </row>
    <row r="55" spans="1:2" ht="18" customHeight="1">
      <c r="A55" s="33"/>
      <c r="B55" s="33"/>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3"/>
  <sheetViews>
    <sheetView zoomScale="75" zoomScaleNormal="75" workbookViewId="0" topLeftCell="A1"/>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28125" style="3" customWidth="1"/>
    <col min="9" max="9" width="66.28125" style="3" customWidth="1"/>
    <col min="10" max="10" width="18.00390625" style="26" customWidth="1"/>
    <col min="11" max="11" width="9.7109375" style="3" customWidth="1"/>
    <col min="12" max="12" width="19.28125" style="3" hidden="1" customWidth="1"/>
    <col min="13" max="13" width="17.7109375" style="3" hidden="1" customWidth="1"/>
    <col min="14" max="14" width="19.8515625" style="3" hidden="1" customWidth="1"/>
    <col min="15" max="15" width="17.57421875" style="3" hidden="1" customWidth="1"/>
    <col min="16" max="16384" width="11.421875" style="3" customWidth="1"/>
  </cols>
  <sheetData>
    <row r="1" spans="1:11" s="2" customFormat="1" ht="60" customHeight="1">
      <c r="A1" s="5"/>
      <c r="B1" s="6"/>
      <c r="C1" s="6"/>
      <c r="D1" s="6"/>
      <c r="E1" s="6"/>
      <c r="F1" s="6"/>
      <c r="G1" s="6"/>
      <c r="H1" s="6"/>
      <c r="I1" s="6"/>
      <c r="J1" s="7" t="s">
        <v>7</v>
      </c>
      <c r="K1" s="8">
        <v>1995</v>
      </c>
    </row>
    <row r="2" spans="1:11" s="2" customFormat="1" ht="12.95" customHeight="1" thickBot="1">
      <c r="A2" s="5"/>
      <c r="B2" s="6"/>
      <c r="C2" s="6"/>
      <c r="D2" s="6"/>
      <c r="E2" s="6"/>
      <c r="F2" s="6"/>
      <c r="G2" s="6"/>
      <c r="H2" s="6"/>
      <c r="I2" s="6"/>
      <c r="J2" s="9"/>
      <c r="K2" s="9"/>
    </row>
    <row r="3" spans="1:11" s="2" customFormat="1" ht="33" customHeight="1">
      <c r="A3" s="75" t="str">
        <f>"                                            "&amp;"UNIVERSIDADES"</f>
        <v xml:space="preserve">                                            UNIVERSIDADES</v>
      </c>
      <c r="B3" s="10"/>
      <c r="C3" s="10"/>
      <c r="D3" s="10"/>
      <c r="E3" s="10"/>
      <c r="F3" s="10"/>
      <c r="G3" s="10"/>
      <c r="H3" s="11"/>
      <c r="I3" s="11"/>
      <c r="J3" s="12"/>
      <c r="K3" s="13"/>
    </row>
    <row r="4" spans="1:11" s="2" customFormat="1" ht="20.1" customHeight="1">
      <c r="A4" s="14" t="str">
        <f>"AGREGADO"</f>
        <v>AGREGADO</v>
      </c>
      <c r="B4" s="15"/>
      <c r="C4" s="15"/>
      <c r="D4" s="15"/>
      <c r="E4" s="15"/>
      <c r="F4" s="15"/>
      <c r="G4" s="15"/>
      <c r="H4" s="14"/>
      <c r="I4" s="14"/>
      <c r="J4" s="16"/>
      <c r="K4" s="17"/>
    </row>
    <row r="5" spans="1:11" s="2" customFormat="1" ht="18" customHeight="1" thickBot="1">
      <c r="A5" s="18"/>
      <c r="B5" s="19"/>
      <c r="C5" s="19"/>
      <c r="D5" s="19"/>
      <c r="E5" s="19"/>
      <c r="F5" s="19"/>
      <c r="G5" s="19"/>
      <c r="H5" s="19"/>
      <c r="I5" s="76" t="str">
        <f>"Población a 01/01/"&amp;K1</f>
        <v>Población a 01/01/1995</v>
      </c>
      <c r="J5" s="229">
        <v>3969401</v>
      </c>
      <c r="K5" s="229"/>
    </row>
    <row r="6" spans="1:11" s="2" customFormat="1" ht="15" customHeight="1">
      <c r="A6" s="20"/>
      <c r="B6" s="21"/>
      <c r="C6" s="21"/>
      <c r="D6" s="21"/>
      <c r="E6" s="21"/>
      <c r="F6" s="21"/>
      <c r="G6" s="21"/>
      <c r="H6" s="21"/>
      <c r="I6" s="22"/>
      <c r="J6" s="16"/>
      <c r="K6" s="16"/>
    </row>
    <row r="7" spans="1:15" s="2" customFormat="1" ht="12.95" customHeight="1">
      <c r="A7" s="20"/>
      <c r="B7" s="21"/>
      <c r="C7" s="21"/>
      <c r="D7" s="46"/>
      <c r="E7" s="46"/>
      <c r="F7" s="46"/>
      <c r="G7" s="46"/>
      <c r="H7" s="46"/>
      <c r="I7" s="21"/>
      <c r="J7" s="21"/>
      <c r="K7" s="21"/>
      <c r="L7" s="198"/>
      <c r="M7" s="198"/>
      <c r="N7" s="198"/>
      <c r="O7" s="198"/>
    </row>
    <row r="8" spans="1:15" s="2" customFormat="1" ht="21" customHeight="1">
      <c r="A8" s="23" t="s">
        <v>11</v>
      </c>
      <c r="B8" s="21"/>
      <c r="C8" s="21"/>
      <c r="D8" s="46"/>
      <c r="E8" s="220"/>
      <c r="F8" s="46"/>
      <c r="G8" s="220"/>
      <c r="H8" s="46"/>
      <c r="I8" s="21"/>
      <c r="J8" s="21"/>
      <c r="K8" s="21"/>
      <c r="L8" s="46"/>
      <c r="M8" s="220"/>
      <c r="N8" s="46"/>
      <c r="O8" s="220"/>
    </row>
    <row r="9" spans="1:11" s="2" customFormat="1" ht="18" customHeight="1">
      <c r="A9" s="24"/>
      <c r="B9" s="21"/>
      <c r="C9" s="21"/>
      <c r="D9" s="21"/>
      <c r="E9" s="21"/>
      <c r="F9" s="21"/>
      <c r="G9" s="21"/>
      <c r="H9" s="21"/>
      <c r="I9" s="21"/>
      <c r="J9" s="21"/>
      <c r="K9" s="21"/>
    </row>
    <row r="10" spans="1:15" s="2" customFormat="1" ht="12.95" customHeight="1">
      <c r="A10" s="23"/>
      <c r="B10" s="21"/>
      <c r="C10" s="21"/>
      <c r="D10" s="44">
        <v>21500</v>
      </c>
      <c r="E10" s="44">
        <v>21501</v>
      </c>
      <c r="F10" s="44">
        <v>21502</v>
      </c>
      <c r="G10" s="44">
        <v>21503</v>
      </c>
      <c r="H10" s="21"/>
      <c r="I10" s="21"/>
      <c r="J10" s="21"/>
      <c r="K10" s="21"/>
      <c r="L10" s="44">
        <v>21500</v>
      </c>
      <c r="M10" s="44">
        <v>21501</v>
      </c>
      <c r="N10" s="44">
        <v>21502</v>
      </c>
      <c r="O10" s="44">
        <v>21503</v>
      </c>
    </row>
    <row r="11" spans="1:15" ht="18" customHeight="1" thickBot="1">
      <c r="A11" s="25" t="s">
        <v>8</v>
      </c>
      <c r="B11" s="17"/>
      <c r="C11" s="17"/>
      <c r="D11" s="44" t="s">
        <v>425</v>
      </c>
      <c r="E11" s="44" t="s">
        <v>437</v>
      </c>
      <c r="F11" s="44" t="s">
        <v>434</v>
      </c>
      <c r="G11" s="44" t="s">
        <v>434</v>
      </c>
      <c r="H11" s="21"/>
      <c r="I11" s="17"/>
      <c r="J11" s="3"/>
      <c r="K11" s="26"/>
      <c r="L11" s="44" t="s">
        <v>425</v>
      </c>
      <c r="M11" s="220" t="s">
        <v>437</v>
      </c>
      <c r="N11" s="220" t="s">
        <v>434</v>
      </c>
      <c r="O11" s="220" t="s">
        <v>434</v>
      </c>
    </row>
    <row r="12" spans="1:15" ht="33" customHeight="1">
      <c r="A12" s="27" t="s">
        <v>9</v>
      </c>
      <c r="B12" s="28">
        <f>K1</f>
        <v>1995</v>
      </c>
      <c r="C12" s="29" t="s">
        <v>10</v>
      </c>
      <c r="D12" s="44" t="s">
        <v>0</v>
      </c>
      <c r="E12" s="44" t="s">
        <v>1</v>
      </c>
      <c r="F12" s="44" t="s">
        <v>2</v>
      </c>
      <c r="G12" s="44" t="s">
        <v>3</v>
      </c>
      <c r="H12" s="21"/>
      <c r="I12" s="27" t="s">
        <v>110</v>
      </c>
      <c r="J12" s="28">
        <f>K1</f>
        <v>1995</v>
      </c>
      <c r="K12" s="29" t="s">
        <v>10</v>
      </c>
      <c r="L12" s="44" t="s">
        <v>0</v>
      </c>
      <c r="M12" s="44" t="s">
        <v>1</v>
      </c>
      <c r="N12" s="44" t="s">
        <v>2</v>
      </c>
      <c r="O12" s="44" t="s">
        <v>3</v>
      </c>
    </row>
    <row r="13" spans="1:15" s="34" customFormat="1" ht="18" customHeight="1">
      <c r="A13" s="30" t="s">
        <v>57</v>
      </c>
      <c r="B13" s="202">
        <f>D13+E13+F13+G13</f>
        <v>433879635.7</v>
      </c>
      <c r="C13" s="32">
        <f>IF((B13/$B$49)=0,"--",B13/$B$49)</f>
        <v>0.7380280595723059</v>
      </c>
      <c r="D13" s="46">
        <f>D14+D16+D20+D24+D26</f>
        <v>176844854.73</v>
      </c>
      <c r="E13" s="46">
        <f>E14+E16+E20+E24+E26</f>
        <v>138583182.48</v>
      </c>
      <c r="F13" s="46">
        <f>F14+F16+F20+F24+F26</f>
        <v>95167531.03</v>
      </c>
      <c r="G13" s="46">
        <f>G14+G16+G20+G24+G26</f>
        <v>23284067.46</v>
      </c>
      <c r="H13" s="33"/>
      <c r="I13" s="30" t="s">
        <v>79</v>
      </c>
      <c r="J13" s="202">
        <f>L13+M13+N13+O13</f>
        <v>393246123.36</v>
      </c>
      <c r="K13" s="32">
        <f>IF((J13/$J$49)=0,"",(J13/$J$49))</f>
        <v>0.6689105675344155</v>
      </c>
      <c r="L13" s="45" t="str">
        <f>'[1]1100'!$L3</f>
        <v>203.486.717,63</v>
      </c>
      <c r="M13" s="45">
        <f>M14+M21+M22+M23</f>
        <v>61716331.27</v>
      </c>
      <c r="N13" s="45">
        <f>N14+N21+N22+N23</f>
        <v>102826626.17</v>
      </c>
      <c r="O13" s="45">
        <f>O14+O21+O22+O23</f>
        <v>25216448.29</v>
      </c>
    </row>
    <row r="14" spans="1:15" s="34" customFormat="1" ht="18" customHeight="1">
      <c r="A14" s="63" t="s">
        <v>58</v>
      </c>
      <c r="B14" s="203">
        <f>D14+E14+F14+G14</f>
        <v>0</v>
      </c>
      <c r="C14" s="36" t="str">
        <f>IF((B14/$B$49)=0,"--",B14/$B$49)</f>
        <v>--</v>
      </c>
      <c r="D14" s="46" t="str">
        <f>'[1]1100'!$D4</f>
        <v>0,00</v>
      </c>
      <c r="E14" s="46" t="str">
        <f>'[2]1120'!$D$9</f>
        <v>0,00</v>
      </c>
      <c r="F14" s="46" t="str">
        <f>'[3]1100'!$D$19</f>
        <v>0,00</v>
      </c>
      <c r="G14" s="46" t="str">
        <f>'[4]1100'!$D$19</f>
        <v>0,00</v>
      </c>
      <c r="H14" s="33"/>
      <c r="I14" s="4" t="s">
        <v>80</v>
      </c>
      <c r="J14" s="203">
        <f>L14+M14+N14+O14</f>
        <v>383908956.45</v>
      </c>
      <c r="K14" s="36">
        <f aca="true" t="shared" si="0" ref="K14:K33">IF((J14/$J$49)=0,"--",J14/$J$49)</f>
        <v>0.653028072460932</v>
      </c>
      <c r="L14" s="45" t="str">
        <f>'[1]1100'!$L4</f>
        <v>180.368.720,93</v>
      </c>
      <c r="M14" s="45">
        <f>M15+M16+M17+M18+M19+M20</f>
        <v>62699548.09</v>
      </c>
      <c r="N14" s="45">
        <f>N15+N16+N17+N18+N19+N20</f>
        <v>117575105.73</v>
      </c>
      <c r="O14" s="45">
        <f>O15+O16+O17+O18+O19+O20</f>
        <v>23265581.7</v>
      </c>
    </row>
    <row r="15" spans="1:15" s="34" customFormat="1" ht="18" customHeight="1">
      <c r="A15" s="63"/>
      <c r="B15" s="203"/>
      <c r="C15" s="36"/>
      <c r="D15" s="46"/>
      <c r="E15" s="46"/>
      <c r="F15" s="46"/>
      <c r="G15" s="46"/>
      <c r="H15" s="33"/>
      <c r="I15" s="33" t="s">
        <v>81</v>
      </c>
      <c r="J15" s="46">
        <f>L15+M15+N15+O15</f>
        <v>383908956.45</v>
      </c>
      <c r="K15" s="37">
        <f t="shared" si="0"/>
        <v>0.653028072460932</v>
      </c>
      <c r="L15" s="45" t="str">
        <f>'[1]1100'!$L5</f>
        <v>180.368.720,93</v>
      </c>
      <c r="M15" s="45" t="str">
        <f>'[2]1120'!$L$4</f>
        <v>62.699.548,09</v>
      </c>
      <c r="N15" s="45">
        <f>'[3]1100'!$L$4+'[3]1100'!$L$9</f>
        <v>117575105.73</v>
      </c>
      <c r="O15" s="45">
        <f>'[4]1100'!$L$4+'[4]1100'!$L$9</f>
        <v>23265581.7</v>
      </c>
    </row>
    <row r="16" spans="1:15" s="34" customFormat="1" ht="18" customHeight="1">
      <c r="A16" s="63" t="s">
        <v>59</v>
      </c>
      <c r="B16" s="203">
        <f>D16+E16+F16+G16</f>
        <v>2316960.87</v>
      </c>
      <c r="C16" s="36">
        <f>IF((B16/$B$49)=0,"--",B16/$B$49)</f>
        <v>0.003941144027726171</v>
      </c>
      <c r="D16" s="46" t="str">
        <f>'[1]1100'!$D10</f>
        <v>349.170,00</v>
      </c>
      <c r="E16" s="46" t="str">
        <f>'[2]1120'!$D13</f>
        <v>0,00</v>
      </c>
      <c r="F16" s="46" t="str">
        <f>'[3]1100'!$D$14</f>
        <v>0,00</v>
      </c>
      <c r="G16" s="46" t="str">
        <f>'[4]1100'!$D$14</f>
        <v>1.967.790,87</v>
      </c>
      <c r="H16" s="33"/>
      <c r="I16" s="33" t="s">
        <v>82</v>
      </c>
      <c r="J16" s="46">
        <f aca="true" t="shared" si="1" ref="J16:J20">L16+M16+N16+O16</f>
        <v>0</v>
      </c>
      <c r="K16" s="37" t="str">
        <f t="shared" si="0"/>
        <v>--</v>
      </c>
      <c r="L16" s="45" t="str">
        <f>'[1]1100'!$L6</f>
        <v>0,00</v>
      </c>
      <c r="M16" s="45"/>
      <c r="N16" s="45"/>
      <c r="O16" s="45"/>
    </row>
    <row r="17" spans="1:15" s="34" customFormat="1" ht="18" customHeight="1">
      <c r="A17" s="33" t="s">
        <v>440</v>
      </c>
      <c r="B17" s="46">
        <f aca="true" t="shared" si="2" ref="B17:B22">D17+E17+F17+G17</f>
        <v>2480746.9</v>
      </c>
      <c r="C17" s="37">
        <f>IF((B17/$B$49)=0,"--",B17/$B$49)</f>
        <v>0.0042197436114815405</v>
      </c>
      <c r="D17" s="46">
        <f>'[1]1100'!$D11+'[1]1100'!$D12+'[1]1100'!$D13+'[1]1100'!$D14+'[1]1100'!$D15+'[1]1100'!$D17</f>
        <v>436244.64</v>
      </c>
      <c r="E17" s="46" t="str">
        <f>'[2]1120'!$D14</f>
        <v>0,00</v>
      </c>
      <c r="F17" s="46">
        <f>'[3]1100'!$D$15+'[3]1100'!$D$16+'[3]1100'!$D$17</f>
        <v>0</v>
      </c>
      <c r="G17" s="46">
        <f>'[4]1100'!$D$15+'[4]1100'!$D$16+'[4]1100'!$D$17</f>
        <v>2044502.26</v>
      </c>
      <c r="H17" s="33"/>
      <c r="I17" s="33" t="s">
        <v>83</v>
      </c>
      <c r="J17" s="46">
        <f t="shared" si="1"/>
        <v>0</v>
      </c>
      <c r="K17" s="37" t="str">
        <f t="shared" si="0"/>
        <v>--</v>
      </c>
      <c r="L17" s="45" t="str">
        <f>'[1]1100'!$L7</f>
        <v>0,00</v>
      </c>
      <c r="M17" s="45" t="str">
        <f>'[2]1120'!$L$5</f>
        <v>0,00</v>
      </c>
      <c r="N17" s="45"/>
      <c r="O17" s="45"/>
    </row>
    <row r="18" spans="1:15" s="34" customFormat="1" ht="18" customHeight="1">
      <c r="A18" s="33" t="s">
        <v>436</v>
      </c>
      <c r="B18" s="46">
        <f t="shared" si="2"/>
        <v>-163786.01</v>
      </c>
      <c r="C18" s="37">
        <f>IF((B18/$B$49)=0,"--",B18/$B$49)</f>
        <v>-0.00027859954973542513</v>
      </c>
      <c r="D18" s="46" t="str">
        <f>'[1]1100'!$D16</f>
        <v>-87.074,63</v>
      </c>
      <c r="E18" s="46" t="str">
        <f>'[2]1120'!$D15</f>
        <v>0,00</v>
      </c>
      <c r="F18" s="46" t="str">
        <f>'[3]1100'!$D$18</f>
        <v>0,00</v>
      </c>
      <c r="G18" s="46" t="str">
        <f>'[4]1100'!$D$18</f>
        <v>-76.711,38</v>
      </c>
      <c r="H18" s="33"/>
      <c r="I18" s="33" t="s">
        <v>84</v>
      </c>
      <c r="J18" s="46">
        <f t="shared" si="1"/>
        <v>0</v>
      </c>
      <c r="K18" s="37" t="str">
        <f t="shared" si="0"/>
        <v>--</v>
      </c>
      <c r="L18" s="45" t="str">
        <f>'[1]1100'!$L8</f>
        <v>0,00</v>
      </c>
      <c r="M18" s="45"/>
      <c r="N18" s="45"/>
      <c r="O18" s="45"/>
    </row>
    <row r="19" spans="1:15" s="34" customFormat="1" ht="18" customHeight="1">
      <c r="A19" s="33"/>
      <c r="B19" s="46"/>
      <c r="C19" s="37"/>
      <c r="D19" s="46"/>
      <c r="E19" s="46"/>
      <c r="F19" s="46"/>
      <c r="G19" s="46"/>
      <c r="H19" s="33"/>
      <c r="I19" s="33" t="s">
        <v>85</v>
      </c>
      <c r="J19" s="46">
        <f t="shared" si="1"/>
        <v>0</v>
      </c>
      <c r="K19" s="37" t="str">
        <f t="shared" si="0"/>
        <v>--</v>
      </c>
      <c r="L19" s="45" t="str">
        <f>'[1]1100'!$L9</f>
        <v>0,00</v>
      </c>
      <c r="M19" s="45"/>
      <c r="N19" s="45"/>
      <c r="O19" s="45"/>
    </row>
    <row r="20" spans="1:15" s="34" customFormat="1" ht="18" customHeight="1">
      <c r="A20" s="63" t="s">
        <v>60</v>
      </c>
      <c r="B20" s="203">
        <f>D20+E20+F20+G20</f>
        <v>431435407.51</v>
      </c>
      <c r="C20" s="36">
        <f>IF((B20/$B$49)=0,"--",B20/$B$49)</f>
        <v>0.7338704341854695</v>
      </c>
      <c r="D20" s="46" t="str">
        <f>'[1]1100'!$D$18</f>
        <v>176.432.933,06</v>
      </c>
      <c r="E20" s="46" t="str">
        <f>'[2]1120'!$D$4</f>
        <v>138.548.717,44</v>
      </c>
      <c r="F20" s="46" t="str">
        <f>'[3]1100'!$D$5</f>
        <v>95.137.480,42</v>
      </c>
      <c r="G20" s="46" t="str">
        <f>'[4]1100'!$D$5</f>
        <v>21.316.276,59</v>
      </c>
      <c r="H20" s="33"/>
      <c r="I20" s="33" t="s">
        <v>86</v>
      </c>
      <c r="J20" s="46">
        <f t="shared" si="1"/>
        <v>0</v>
      </c>
      <c r="K20" s="37" t="str">
        <f t="shared" si="0"/>
        <v>--</v>
      </c>
      <c r="L20" s="45" t="str">
        <f>'[1]1100'!$L10</f>
        <v>0,00</v>
      </c>
      <c r="M20" s="45"/>
      <c r="N20" s="45"/>
      <c r="O20" s="45"/>
    </row>
    <row r="21" spans="1:15" s="34" customFormat="1" ht="18" customHeight="1">
      <c r="A21" s="33" t="s">
        <v>435</v>
      </c>
      <c r="B21" s="46">
        <f t="shared" si="2"/>
        <v>555820198.15</v>
      </c>
      <c r="C21" s="37">
        <f>IF((B21/$B$49)=0,"--",B21/$B$49)</f>
        <v>0.9454486188316376</v>
      </c>
      <c r="D21" s="46">
        <f>'[1]1100'!$D$19+'[1]1100'!$D$20+'[1]1100'!$D$21+'[1]1100'!$D$22</f>
        <v>263754757.01000002</v>
      </c>
      <c r="E21" s="46">
        <f>'[2]1120'!$D$5+'[2]1120'!$D$7+'[2]1120'!$D$8</f>
        <v>175611684.11999997</v>
      </c>
      <c r="F21" s="46">
        <f>'[3]1100'!$D$6+'[3]1100'!$D$7+'[3]1100'!$D$8+'[3]1100'!$D$9+'[3]1100'!$D$10+'[3]1100'!$D$11+'[3]1100'!$D$12</f>
        <v>95137480.42</v>
      </c>
      <c r="G21" s="46">
        <f>'[4]1100'!$D$6+'[4]1100'!$D$7+'[4]1100'!$D$8+'[4]1100'!$D$9+'[4]1100'!$D$10+'[4]1100'!$D$11+'[4]1100'!$D$12</f>
        <v>21316276.599999998</v>
      </c>
      <c r="H21" s="33"/>
      <c r="I21" s="4" t="s">
        <v>87</v>
      </c>
      <c r="J21" s="203">
        <f aca="true" t="shared" si="3" ref="J21:J28">L21+M21+N21+O21</f>
        <v>2344807.74</v>
      </c>
      <c r="K21" s="36">
        <f t="shared" si="0"/>
        <v>0.0039885114765305036</v>
      </c>
      <c r="L21" s="45" t="str">
        <f>'[1]1100'!$L11</f>
        <v>0,00</v>
      </c>
      <c r="M21" s="45" t="str">
        <f>'[2]1120'!$L$7</f>
        <v>0,00</v>
      </c>
      <c r="N21" s="45" t="str">
        <f>'[3]1100'!$L$8</f>
        <v>0,00</v>
      </c>
      <c r="O21" s="45">
        <f>'[4]1100'!$L$8-0.01</f>
        <v>2344807.74</v>
      </c>
    </row>
    <row r="22" spans="1:15" s="34" customFormat="1" ht="18" customHeight="1">
      <c r="A22" s="33" t="s">
        <v>436</v>
      </c>
      <c r="B22" s="46">
        <f t="shared" si="2"/>
        <v>-124384790.63</v>
      </c>
      <c r="C22" s="37">
        <f>IF((B22/$B$49)=0,"--",B22/$B$49)</f>
        <v>-0.21157818462915806</v>
      </c>
      <c r="D22" s="46" t="str">
        <f>'[1]1100'!$D$23</f>
        <v>-87.321.823,95</v>
      </c>
      <c r="E22" s="46" t="str">
        <f>'[2]1120'!$D$6</f>
        <v>-37.062.966,68</v>
      </c>
      <c r="F22" s="46" t="str">
        <f>'[3]1100'!$D$13</f>
        <v>0,00</v>
      </c>
      <c r="G22" s="46" t="str">
        <f>'[4]1100'!$D$13</f>
        <v>0,00</v>
      </c>
      <c r="H22" s="33"/>
      <c r="I22" s="4" t="s">
        <v>88</v>
      </c>
      <c r="J22" s="203">
        <f t="shared" si="3"/>
        <v>0</v>
      </c>
      <c r="K22" s="36" t="str">
        <f t="shared" si="0"/>
        <v>--</v>
      </c>
      <c r="L22" s="45" t="str">
        <f>'[1]1100'!$L12</f>
        <v>0,00</v>
      </c>
      <c r="M22" s="45" t="str">
        <f>'[2]1120'!$L$8</f>
        <v>0,00</v>
      </c>
      <c r="N22" s="45">
        <f>-'[3]1100'!$D$3</f>
        <v>0</v>
      </c>
      <c r="O22" s="45">
        <f>-'[4]1100'!$D$3</f>
        <v>0</v>
      </c>
    </row>
    <row r="23" spans="1:15" s="34" customFormat="1" ht="18" customHeight="1">
      <c r="A23" s="33"/>
      <c r="B23" s="46"/>
      <c r="C23" s="37"/>
      <c r="D23" s="46"/>
      <c r="E23" s="46"/>
      <c r="F23" s="46"/>
      <c r="G23" s="46"/>
      <c r="H23" s="33"/>
      <c r="I23" s="4" t="s">
        <v>89</v>
      </c>
      <c r="J23" s="203">
        <f t="shared" si="3"/>
        <v>6992359.18</v>
      </c>
      <c r="K23" s="36">
        <f t="shared" si="0"/>
        <v>0.011893983613962917</v>
      </c>
      <c r="L23" s="45" t="str">
        <f>'[1]1100'!$L15</f>
        <v>23.117.996,71</v>
      </c>
      <c r="M23" s="45">
        <f>IF('[2]1120'!$R$44&gt;0,-'[2]1120'!$D$44,'[2]1120'!$L$30)</f>
        <v>-983216.82</v>
      </c>
      <c r="N23" s="45">
        <f>'[3]1100'!$L$51-'[3]1100'!$D$61</f>
        <v>-14748479.56</v>
      </c>
      <c r="O23" s="45">
        <f>'[4]1100'!$L$51-'[4]1100'!$D$61</f>
        <v>-393941.15</v>
      </c>
    </row>
    <row r="24" spans="1:15" s="34" customFormat="1" ht="18" customHeight="1">
      <c r="A24" s="63" t="s">
        <v>61</v>
      </c>
      <c r="B24" s="203">
        <f>D24+E24+F24+G24</f>
        <v>0</v>
      </c>
      <c r="C24" s="36" t="str">
        <f>IF((B24/$B$49)=0,"--",B24/$B$49)</f>
        <v>--</v>
      </c>
      <c r="D24" s="46" t="str">
        <f>'[1]1100'!$D24</f>
        <v>0,00</v>
      </c>
      <c r="E24" s="46"/>
      <c r="F24" s="46"/>
      <c r="G24" s="46"/>
      <c r="H24" s="33"/>
      <c r="I24" s="30" t="s">
        <v>5</v>
      </c>
      <c r="J24" s="202">
        <f t="shared" si="3"/>
        <v>84478702.14</v>
      </c>
      <c r="K24" s="32">
        <f t="shared" si="0"/>
        <v>0.14369803854698637</v>
      </c>
      <c r="L24" s="45" t="str">
        <f>'[1]1100'!$L16</f>
        <v>0,00</v>
      </c>
      <c r="M24" s="45" t="str">
        <f>'[2]1120'!$L$9</f>
        <v>84.478.702,14</v>
      </c>
      <c r="N24" s="45"/>
      <c r="O24" s="45"/>
    </row>
    <row r="25" spans="1:15" s="34" customFormat="1" ht="18" customHeight="1">
      <c r="A25" s="63"/>
      <c r="B25" s="203"/>
      <c r="C25" s="36"/>
      <c r="D25" s="46"/>
      <c r="E25" s="46"/>
      <c r="F25" s="46"/>
      <c r="G25" s="46"/>
      <c r="H25" s="33"/>
      <c r="I25" s="30" t="s">
        <v>6</v>
      </c>
      <c r="J25" s="202">
        <f t="shared" si="3"/>
        <v>0</v>
      </c>
      <c r="K25" s="32" t="str">
        <f t="shared" si="0"/>
        <v>--</v>
      </c>
      <c r="L25" s="45" t="str">
        <f>'[1]1100'!$L17</f>
        <v>0,00</v>
      </c>
      <c r="M25" s="45"/>
      <c r="N25" s="45"/>
      <c r="O25" s="45"/>
    </row>
    <row r="26" spans="1:15" s="34" customFormat="1" ht="18" customHeight="1">
      <c r="A26" s="63" t="s">
        <v>62</v>
      </c>
      <c r="B26" s="203">
        <f>D26+E26+F26+G26</f>
        <v>127267.31999999999</v>
      </c>
      <c r="C26" s="36">
        <f>IF((B26/$B$49)=0,"--",B26/$B$49)</f>
        <v>0.00021648135911018446</v>
      </c>
      <c r="D26" s="46" t="str">
        <f>'[1]1100'!$D$25</f>
        <v>62.751,67</v>
      </c>
      <c r="E26" s="46">
        <f>'[2]1120'!$D$17+'[2]1120'!$D$18+'[2]1120'!$D$19+'[2]1120'!$D$20+'[2]1120'!$D$21</f>
        <v>34465.04</v>
      </c>
      <c r="F26" s="46">
        <f>F27+F28+F29+F30</f>
        <v>30050.61</v>
      </c>
      <c r="G26" s="46">
        <f>G27+G28+G29+G30</f>
        <v>0</v>
      </c>
      <c r="H26" s="33"/>
      <c r="I26" s="30" t="s">
        <v>90</v>
      </c>
      <c r="J26" s="202">
        <f t="shared" si="3"/>
        <v>15302011.419999998</v>
      </c>
      <c r="K26" s="32">
        <f t="shared" si="0"/>
        <v>0.026028679077403086</v>
      </c>
      <c r="L26" s="45" t="str">
        <f>'[1]1100'!$L18</f>
        <v>0,00</v>
      </c>
      <c r="M26" s="45">
        <f>M27+M28+M33</f>
        <v>13949924.18</v>
      </c>
      <c r="N26" s="45">
        <f>N27+N28+N33</f>
        <v>1261163.2</v>
      </c>
      <c r="O26" s="45">
        <f>O27+O28+O33</f>
        <v>90924.04</v>
      </c>
    </row>
    <row r="27" spans="1:15" s="34" customFormat="1" ht="18" customHeight="1">
      <c r="A27" s="33" t="s">
        <v>63</v>
      </c>
      <c r="B27" s="46">
        <f aca="true" t="shared" si="4" ref="B27:B30">D27+E27+F27+G27</f>
        <v>97216.70999999999</v>
      </c>
      <c r="C27" s="37">
        <f>IF((B27/$B$49)=0,"--",B27/$B$49)</f>
        <v>0.00016536535466465908</v>
      </c>
      <c r="D27" s="46" t="str">
        <f>'[1]1100'!$D$26</f>
        <v>62.751,67</v>
      </c>
      <c r="E27" s="46">
        <f>'[2]1120'!$D$17+'[2]1120'!$D$18</f>
        <v>34465.04</v>
      </c>
      <c r="F27" s="46">
        <f>'[3]1100'!$D$29+'[3]1100'!$D$30+'[3]1100'!$D$31+'[3]1100'!$D$36+'[3]1100'!$D$37+'[3]1100'!$D$38</f>
        <v>0</v>
      </c>
      <c r="G27" s="46">
        <f>'[4]1100'!$D$29+'[4]1100'!$D$30+'[4]1100'!$D$31+'[4]1100'!$D$36+'[4]1100'!$D$37+'[4]1100'!$D$38</f>
        <v>0</v>
      </c>
      <c r="H27" s="33"/>
      <c r="I27" s="4" t="s">
        <v>91</v>
      </c>
      <c r="J27" s="203">
        <f t="shared" si="3"/>
        <v>0</v>
      </c>
      <c r="K27" s="36" t="str">
        <f t="shared" si="0"/>
        <v>--</v>
      </c>
      <c r="L27" s="45" t="str">
        <f>'[1]1100'!$L19</f>
        <v>0,00</v>
      </c>
      <c r="M27" s="45" t="str">
        <f>'[2]1120'!$L$11</f>
        <v>0,00</v>
      </c>
      <c r="N27" s="45">
        <f>'[3]1100'!$L$21+'[3]1100'!$L$22+'[3]1100'!$L$23+'[3]1100'!$L$24+'[3]1100'!$L$25</f>
        <v>0</v>
      </c>
      <c r="O27" s="45">
        <f>'[4]1100'!$L$21+'[4]1100'!$L$22+'[4]1100'!$L$23+'[4]1100'!$L$24+'[4]1100'!$L$25</f>
        <v>0</v>
      </c>
    </row>
    <row r="28" spans="1:15" s="34" customFormat="1" ht="18" customHeight="1">
      <c r="A28" s="33" t="s">
        <v>64</v>
      </c>
      <c r="B28" s="46">
        <f t="shared" si="4"/>
        <v>30050.61</v>
      </c>
      <c r="C28" s="37">
        <f>IF((B28/$B$49)=0,"--",B28/$B$49)</f>
        <v>5.111600444552538E-05</v>
      </c>
      <c r="D28" s="46" t="str">
        <f>'[1]1100'!$D$27</f>
        <v>0,00</v>
      </c>
      <c r="E28" s="46" t="str">
        <f>'[2]1120'!$D$19</f>
        <v>0,00</v>
      </c>
      <c r="F28" s="46">
        <f>'[3]1100'!$D$32+'[3]1100'!$D$33+'[3]1100'!$D$34+'[3]1100'!$D$39+'[3]1100'!$D$40</f>
        <v>30050.61</v>
      </c>
      <c r="G28" s="46">
        <f>'[4]1100'!$D$32+'[4]1100'!$D$33+'[4]1100'!$D$34+'[4]1100'!$D$39+'[4]1100'!$D$40</f>
        <v>0</v>
      </c>
      <c r="H28" s="33"/>
      <c r="I28" s="4" t="s">
        <v>92</v>
      </c>
      <c r="J28" s="203">
        <f t="shared" si="3"/>
        <v>15302011.419999998</v>
      </c>
      <c r="K28" s="36">
        <f t="shared" si="0"/>
        <v>0.026028679077403086</v>
      </c>
      <c r="L28" s="45" t="str">
        <f>'[1]1100'!$L24</f>
        <v>0,00</v>
      </c>
      <c r="M28" s="45">
        <f>'[2]1120'!$L$12+'[2]1120'!$L$13</f>
        <v>13949924.18</v>
      </c>
      <c r="N28" s="45">
        <f>N29+N30+N31+N32</f>
        <v>1261163.2</v>
      </c>
      <c r="O28" s="45">
        <f>O29+O30+O31+O32</f>
        <v>90924.04</v>
      </c>
    </row>
    <row r="29" spans="1:15" s="34" customFormat="1" ht="18" customHeight="1">
      <c r="A29" s="33" t="s">
        <v>65</v>
      </c>
      <c r="B29" s="46">
        <f t="shared" si="4"/>
        <v>0</v>
      </c>
      <c r="C29" s="37" t="str">
        <f>IF((B29/$B$49)=0,"--",B29/$B$49)</f>
        <v>--</v>
      </c>
      <c r="D29" s="46" t="str">
        <f>'[1]1100'!$D$28</f>
        <v>0,00</v>
      </c>
      <c r="E29" s="46" t="str">
        <f>'[2]1120'!$D$21</f>
        <v>0,00</v>
      </c>
      <c r="F29" s="46" t="str">
        <f>'[3]1100'!$D$41</f>
        <v>0,00</v>
      </c>
      <c r="G29" s="46" t="str">
        <f>'[4]1100'!$D$41</f>
        <v>0,00</v>
      </c>
      <c r="H29" s="33"/>
      <c r="I29" s="1" t="s">
        <v>93</v>
      </c>
      <c r="J29" s="46">
        <f aca="true" t="shared" si="5" ref="J29:J32">L29+M29+N29+O29</f>
        <v>15302011.419999998</v>
      </c>
      <c r="K29" s="37">
        <f t="shared" si="0"/>
        <v>0.026028679077403086</v>
      </c>
      <c r="L29" s="45" t="str">
        <f>'[1]1100'!$L25</f>
        <v>0,00</v>
      </c>
      <c r="M29" s="45" t="str">
        <f>'[2]1120'!$L$12</f>
        <v>13.949.924,18</v>
      </c>
      <c r="N29" s="45" t="str">
        <f>'[3]1100'!$L$28</f>
        <v>1.261.163,20</v>
      </c>
      <c r="O29" s="45" t="str">
        <f>'[4]1100'!$L$28</f>
        <v>90.924,04</v>
      </c>
    </row>
    <row r="30" spans="1:15" s="34" customFormat="1" ht="18" customHeight="1">
      <c r="A30" s="33" t="s">
        <v>66</v>
      </c>
      <c r="B30" s="46">
        <f t="shared" si="4"/>
        <v>0</v>
      </c>
      <c r="C30" s="37" t="str">
        <f>IF((B30/$B$49)=0,"--",B30/$B$49)</f>
        <v>--</v>
      </c>
      <c r="D30" s="46" t="str">
        <f>'[1]1100'!$D$29</f>
        <v>0,00</v>
      </c>
      <c r="E30" s="46" t="str">
        <f>'[2]1120'!$D$20</f>
        <v>0,00</v>
      </c>
      <c r="F30" s="46"/>
      <c r="G30" s="46"/>
      <c r="H30" s="33"/>
      <c r="I30" s="1" t="s">
        <v>94</v>
      </c>
      <c r="J30" s="46">
        <f t="shared" si="5"/>
        <v>0</v>
      </c>
      <c r="K30" s="37" t="str">
        <f t="shared" si="0"/>
        <v>--</v>
      </c>
      <c r="L30" s="45" t="str">
        <f>'[1]1100'!$L26</f>
        <v>0,00</v>
      </c>
      <c r="M30" s="45"/>
      <c r="N30" s="45" t="str">
        <f>'[3]1100'!$L$26</f>
        <v>0,00</v>
      </c>
      <c r="O30" s="45" t="str">
        <f>'[4]1100'!$L$26</f>
        <v>0,00</v>
      </c>
    </row>
    <row r="31" spans="1:15" s="34" customFormat="1" ht="18" customHeight="1">
      <c r="A31" s="33"/>
      <c r="B31" s="46"/>
      <c r="C31" s="37"/>
      <c r="D31" s="46"/>
      <c r="E31" s="46"/>
      <c r="F31" s="46"/>
      <c r="G31" s="46"/>
      <c r="H31" s="33"/>
      <c r="I31" s="1" t="s">
        <v>95</v>
      </c>
      <c r="J31" s="46">
        <f t="shared" si="5"/>
        <v>0</v>
      </c>
      <c r="K31" s="37" t="str">
        <f t="shared" si="0"/>
        <v>--</v>
      </c>
      <c r="L31" s="45" t="str">
        <f>'[1]1100'!$L27</f>
        <v>0,00</v>
      </c>
      <c r="M31" s="45"/>
      <c r="N31" s="45" t="str">
        <f>'[3]1100'!$L$29</f>
        <v>0,00</v>
      </c>
      <c r="O31" s="45" t="str">
        <f>'[4]1100'!$L$29</f>
        <v>0,00</v>
      </c>
    </row>
    <row r="32" spans="1:15" s="34" customFormat="1" ht="18" customHeight="1">
      <c r="A32" s="30" t="s">
        <v>4</v>
      </c>
      <c r="B32" s="202">
        <f>D32+E32+F32+G32</f>
        <v>12263.55</v>
      </c>
      <c r="C32" s="32">
        <f>IF((B32/$B$49)=0,"--",B32/$B$49)</f>
        <v>2.086026461086556E-05</v>
      </c>
      <c r="D32" s="46" t="str">
        <f>'[1]1100'!$D30</f>
        <v>0,00</v>
      </c>
      <c r="E32" s="46">
        <f>'[2]1120'!$D$22+'[2]1120'!$D$23</f>
        <v>0</v>
      </c>
      <c r="F32" s="46" t="str">
        <f>'[3]1100'!$D42</f>
        <v>0,00</v>
      </c>
      <c r="G32" s="46" t="str">
        <f>'[4]1100'!$D42</f>
        <v>12.263,55</v>
      </c>
      <c r="H32" s="33"/>
      <c r="I32" s="1" t="s">
        <v>96</v>
      </c>
      <c r="J32" s="46">
        <f t="shared" si="5"/>
        <v>0</v>
      </c>
      <c r="K32" s="37" t="str">
        <f t="shared" si="0"/>
        <v>--</v>
      </c>
      <c r="L32" s="45" t="str">
        <f>'[1]1100'!$L28</f>
        <v>0,00</v>
      </c>
      <c r="M32" s="45" t="str">
        <f>'[2]1120'!$L$13</f>
        <v>0,00</v>
      </c>
      <c r="N32" s="45" t="str">
        <f>'[3]1100'!$L$30</f>
        <v>0,00</v>
      </c>
      <c r="O32" s="45" t="str">
        <f>'[4]1100'!$L$30</f>
        <v>0,00</v>
      </c>
    </row>
    <row r="33" spans="1:15" s="34" customFormat="1" ht="18" customHeight="1">
      <c r="A33" s="222"/>
      <c r="B33" s="223"/>
      <c r="C33" s="224"/>
      <c r="D33" s="46"/>
      <c r="E33" s="46"/>
      <c r="F33" s="46"/>
      <c r="G33" s="46"/>
      <c r="H33" s="33"/>
      <c r="I33" s="4" t="s">
        <v>97</v>
      </c>
      <c r="J33" s="203">
        <f>L33+M33+N33+O33</f>
        <v>0</v>
      </c>
      <c r="K33" s="36" t="str">
        <f t="shared" si="0"/>
        <v>--</v>
      </c>
      <c r="L33" s="45" t="str">
        <f>'[1]1100'!$L29</f>
        <v>0,00</v>
      </c>
      <c r="M33" s="45"/>
      <c r="N33" s="45" t="str">
        <f>'[3]1100'!$L$31</f>
        <v>0,00</v>
      </c>
      <c r="O33" s="45" t="str">
        <f>'[4]1100'!$L$31</f>
        <v>0,00</v>
      </c>
    </row>
    <row r="34" spans="1:15" s="34" customFormat="1" ht="18" customHeight="1">
      <c r="A34" s="225"/>
      <c r="B34" s="216"/>
      <c r="C34" s="226"/>
      <c r="D34" s="46"/>
      <c r="E34" s="46"/>
      <c r="F34" s="46"/>
      <c r="G34" s="46"/>
      <c r="H34" s="33"/>
      <c r="I34" s="4"/>
      <c r="J34" s="46"/>
      <c r="K34" s="36"/>
      <c r="L34" s="45"/>
      <c r="M34" s="45"/>
      <c r="N34" s="45"/>
      <c r="O34" s="45"/>
    </row>
    <row r="35" spans="1:15" s="34" customFormat="1" ht="18" customHeight="1">
      <c r="A35" s="30" t="s">
        <v>67</v>
      </c>
      <c r="B35" s="202">
        <f>D35+E35+F35+G35</f>
        <v>153998534.01</v>
      </c>
      <c r="C35" s="32">
        <f aca="true" t="shared" si="6" ref="C35:C48">IF((B35/$B$49)=0,"--",B35/$B$49)</f>
        <v>0.2619510801630832</v>
      </c>
      <c r="D35" s="46">
        <f>D36+D37+D42+D47+D48</f>
        <v>62005835.83</v>
      </c>
      <c r="E35" s="46">
        <f>E36+E37+E42+E47+E48</f>
        <v>38437913.98</v>
      </c>
      <c r="F35" s="46">
        <f>F36+F37+F42+F47+F48</f>
        <v>43221653.72999999</v>
      </c>
      <c r="G35" s="46">
        <f>G36+G37+G42+G47+G48</f>
        <v>10333130.47</v>
      </c>
      <c r="H35" s="33"/>
      <c r="I35" s="30" t="s">
        <v>98</v>
      </c>
      <c r="J35" s="202">
        <f>L35+M35+N35+O35</f>
        <v>94863596.34</v>
      </c>
      <c r="K35" s="32">
        <f aca="true" t="shared" si="7" ref="K35:K47">IF((J35/$J$49)=0,"--",J35/$J$49)</f>
        <v>0.16136271484119508</v>
      </c>
      <c r="L35" s="45">
        <f>L36+L37+L38+L45</f>
        <v>35363972.93</v>
      </c>
      <c r="M35" s="45">
        <f>M36+M37+M38+M45</f>
        <v>16876138.87</v>
      </c>
      <c r="N35" s="45">
        <f>N36+N37+N38+N45</f>
        <v>34301395.39</v>
      </c>
      <c r="O35" s="45">
        <f>O36+O37+O38+O45</f>
        <v>8322089.15</v>
      </c>
    </row>
    <row r="36" spans="1:15" s="34" customFormat="1" ht="18" customHeight="1">
      <c r="A36" s="63" t="s">
        <v>68</v>
      </c>
      <c r="B36" s="203">
        <f>D36+E36+F36+G36</f>
        <v>579449.91</v>
      </c>
      <c r="C36" s="36">
        <f t="shared" si="6"/>
        <v>0.000985642693293723</v>
      </c>
      <c r="D36" s="46" t="str">
        <f>'[1]1100'!$D32</f>
        <v>0,00</v>
      </c>
      <c r="E36" s="46" t="str">
        <f>'[2]1120'!$D$24</f>
        <v>579.449,91</v>
      </c>
      <c r="F36" s="46" t="str">
        <f>'[3]1100'!$D43</f>
        <v>0,00</v>
      </c>
      <c r="G36" s="46" t="str">
        <f>'[4]1100'!$D43</f>
        <v>0,00</v>
      </c>
      <c r="H36" s="33"/>
      <c r="I36" s="4" t="s">
        <v>91</v>
      </c>
      <c r="J36" s="203">
        <f>L36+M36+N36+O36</f>
        <v>0</v>
      </c>
      <c r="K36" s="36" t="str">
        <f t="shared" si="7"/>
        <v>--</v>
      </c>
      <c r="L36" s="45" t="str">
        <f>'[1]1100'!$L$31</f>
        <v>0,00</v>
      </c>
      <c r="M36" s="45" t="str">
        <f>'[2]1120'!$L$15</f>
        <v>0,00</v>
      </c>
      <c r="N36" s="45"/>
      <c r="O36" s="45"/>
    </row>
    <row r="37" spans="1:15" s="34" customFormat="1" ht="18" customHeight="1">
      <c r="A37" s="63" t="s">
        <v>69</v>
      </c>
      <c r="B37" s="203">
        <f>D37+E37+F37+G37</f>
        <v>130782281.89</v>
      </c>
      <c r="C37" s="36">
        <f t="shared" si="6"/>
        <v>0.22246029955748628</v>
      </c>
      <c r="D37" s="46" t="str">
        <f>'[1]1100'!$D$39</f>
        <v>51.823.620,98</v>
      </c>
      <c r="E37" s="46">
        <f>'[2]1120'!$D$30+'[2]1120'!$D$31+'[2]1120'!$D$32+'[2]1120'!$D$33</f>
        <v>27468538.799999997</v>
      </c>
      <c r="F37" s="46">
        <f>F38+F39+F40+F41</f>
        <v>41612241.56999999</v>
      </c>
      <c r="G37" s="46">
        <f>G38+G39+G40+G41</f>
        <v>9877880.540000001</v>
      </c>
      <c r="H37" s="33"/>
      <c r="I37" s="4" t="s">
        <v>99</v>
      </c>
      <c r="J37" s="203">
        <f>L37+M37+N37+O37</f>
        <v>11296862.38</v>
      </c>
      <c r="K37" s="36">
        <f t="shared" si="7"/>
        <v>0.01921593164453462</v>
      </c>
      <c r="L37" s="45">
        <f>'[1]1100'!$L$37+'[1]1100'!$L$38</f>
        <v>10218612.14</v>
      </c>
      <c r="M37" s="45"/>
      <c r="N37" s="45">
        <f>'[3]1100'!$L$45+'[3]1100'!$L$46</f>
        <v>0</v>
      </c>
      <c r="O37" s="45">
        <f>'[4]1100'!$L$45+'[4]1100'!$L$46</f>
        <v>1078250.24</v>
      </c>
    </row>
    <row r="38" spans="1:15" s="34" customFormat="1" ht="18" customHeight="1">
      <c r="A38" s="33" t="s">
        <v>70</v>
      </c>
      <c r="B38" s="46">
        <f aca="true" t="shared" si="8" ref="B38:B46">D38+E38+F38+G38</f>
        <v>118447763.23999998</v>
      </c>
      <c r="C38" s="37">
        <f t="shared" si="6"/>
        <v>0.20147931746937506</v>
      </c>
      <c r="D38" s="46" t="str">
        <f>'[1]1100'!$D$40</f>
        <v>45.891.499,28</v>
      </c>
      <c r="E38" s="46" t="str">
        <f>'[2]1120'!$D$30</f>
        <v>24.820.849,54</v>
      </c>
      <c r="F38" s="46">
        <f>'[3]1100'!$D$45+'[3]1100'!$D$48</f>
        <v>38610407.76</v>
      </c>
      <c r="G38" s="46">
        <f>'[4]1100'!$D$45+'[4]1100'!$D$48</f>
        <v>9125006.66</v>
      </c>
      <c r="H38" s="33"/>
      <c r="I38" s="4" t="s">
        <v>100</v>
      </c>
      <c r="J38" s="203">
        <f>L38+M38+N38+O38</f>
        <v>66194514.95</v>
      </c>
      <c r="K38" s="36">
        <f t="shared" si="7"/>
        <v>0.11259668673792633</v>
      </c>
      <c r="L38" s="45" t="str">
        <f>'[1]1100'!$L39</f>
        <v>13.729.340,21</v>
      </c>
      <c r="M38" s="45">
        <f>'[2]1120'!$L$16+'[2]1120'!$L$17+'[2]1120'!$L$18+'[2]1120'!$L$19+'[2]1120'!$L$20+'[2]1120'!$L$21+'[2]1120'!$L$22+'[2]1120'!$L$23+'[2]1120'!$L$24+'[2]1120'!$L$25+'[2]1120'!$L$29</f>
        <v>13527325.56</v>
      </c>
      <c r="N38" s="45">
        <f>N39+N40+N41+N42+N43+N44</f>
        <v>34301395.39</v>
      </c>
      <c r="O38" s="45">
        <f>O39+O40+O41+O42+O43+O44</f>
        <v>4636453.79</v>
      </c>
    </row>
    <row r="39" spans="1:15" s="34" customFormat="1" ht="18" customHeight="1">
      <c r="A39" s="33" t="s">
        <v>441</v>
      </c>
      <c r="B39" s="46">
        <f t="shared" si="8"/>
        <v>10303385.85</v>
      </c>
      <c r="C39" s="37">
        <f t="shared" si="6"/>
        <v>0.017526030816431455</v>
      </c>
      <c r="D39" s="46">
        <f>'[1]1100'!$D$41+'[1]1100'!$D$42++'[1]1100'!$D$44</f>
        <v>5926099.55</v>
      </c>
      <c r="E39" s="46" t="str">
        <f>'[2]1120'!$D$31</f>
        <v>3.817.044,58</v>
      </c>
      <c r="F39" s="46">
        <f>'[3]1100'!$D$51+'[3]1100'!$D$57+'[3]1100'!$D$58</f>
        <v>-277169.59</v>
      </c>
      <c r="G39" s="46">
        <f>'[4]1100'!$D$51+'[4]1100'!$D$57+'[4]1100'!$D$58</f>
        <v>837411.31</v>
      </c>
      <c r="H39" s="33"/>
      <c r="I39" s="1" t="s">
        <v>101</v>
      </c>
      <c r="J39" s="46">
        <f aca="true" t="shared" si="9" ref="J39:J44">L39+M39+N39+O39</f>
        <v>45543575.2</v>
      </c>
      <c r="K39" s="37">
        <f t="shared" si="7"/>
        <v>0.07746949537424763</v>
      </c>
      <c r="L39" s="45" t="str">
        <f>'[1]1100'!$L40</f>
        <v>9.352.848,20</v>
      </c>
      <c r="M39" s="45">
        <f>'[2]1120'!$L$16+'[2]1120'!$L$17</f>
        <v>11699292.44</v>
      </c>
      <c r="N39" s="45">
        <f>'[3]1100'!$L$33+'[3]1100'!$L$36</f>
        <v>20974678.78</v>
      </c>
      <c r="O39" s="45">
        <f>'[4]1100'!$L$33+'[4]1100'!$L$36</f>
        <v>3516755.78</v>
      </c>
    </row>
    <row r="40" spans="1:15" s="34" customFormat="1" ht="18" customHeight="1">
      <c r="A40" s="33" t="s">
        <v>438</v>
      </c>
      <c r="B40" s="46">
        <f t="shared" si="8"/>
        <v>3556319.09</v>
      </c>
      <c r="C40" s="37">
        <f t="shared" si="6"/>
        <v>0.00604928893004657</v>
      </c>
      <c r="D40" s="46" t="str">
        <f>'[1]1100'!$D$43</f>
        <v>6.022,14</v>
      </c>
      <c r="E40" s="46" t="str">
        <f>'[2]1120'!$D$32</f>
        <v>271.095,94</v>
      </c>
      <c r="F40" s="46" t="str">
        <f>'[3]1100'!$D$52</f>
        <v>3.279.003,40</v>
      </c>
      <c r="G40" s="46" t="str">
        <f>'[4]1100'!$D$52</f>
        <v>197,61</v>
      </c>
      <c r="H40" s="33"/>
      <c r="I40" s="1" t="s">
        <v>102</v>
      </c>
      <c r="J40" s="46">
        <f t="shared" si="9"/>
        <v>14658327.07</v>
      </c>
      <c r="K40" s="37">
        <f t="shared" si="7"/>
        <v>0.024933773779436924</v>
      </c>
      <c r="L40" s="45" t="str">
        <f>'[1]1100'!$L41</f>
        <v>3.498.311,16</v>
      </c>
      <c r="M40" s="45" t="str">
        <f>'[2]1120'!$L$22</f>
        <v>169.175,96</v>
      </c>
      <c r="N40" s="45">
        <f>'[3]1100'!$L$39+'[3]1100'!$L$40</f>
        <v>10911063.15</v>
      </c>
      <c r="O40" s="45">
        <f>'[4]1100'!$L$39+'[4]1100'!$L$40</f>
        <v>79776.8</v>
      </c>
    </row>
    <row r="41" spans="1:15" s="34" customFormat="1" ht="18" customHeight="1">
      <c r="A41" s="33" t="s">
        <v>66</v>
      </c>
      <c r="B41" s="46">
        <f t="shared" si="8"/>
        <v>-1525186.3</v>
      </c>
      <c r="C41" s="37">
        <f t="shared" si="6"/>
        <v>-0.002594337675376786</v>
      </c>
      <c r="D41" s="46" t="str">
        <f>'[1]1100'!$D$45</f>
        <v>0,00</v>
      </c>
      <c r="E41" s="46" t="str">
        <f>'[2]1120'!$D$33</f>
        <v>-1.440.451,26</v>
      </c>
      <c r="F41" s="46" t="str">
        <f>'[3]1100'!$D$53</f>
        <v>0,00</v>
      </c>
      <c r="G41" s="46" t="str">
        <f>'[4]1100'!$D$53</f>
        <v>-84.735,04</v>
      </c>
      <c r="H41" s="33"/>
      <c r="I41" s="1" t="s">
        <v>103</v>
      </c>
      <c r="J41" s="46">
        <f t="shared" si="9"/>
        <v>0</v>
      </c>
      <c r="K41" s="37" t="str">
        <f t="shared" si="7"/>
        <v>--</v>
      </c>
      <c r="L41" s="45" t="str">
        <f>'[1]1100'!$L42</f>
        <v>0,00</v>
      </c>
      <c r="M41" s="45" t="str">
        <f>'[2]1120'!$L$18</f>
        <v>0,00</v>
      </c>
      <c r="N41" s="45" t="str">
        <f>'[3]1100'!$L$41</f>
        <v>0,00</v>
      </c>
      <c r="O41" s="45" t="str">
        <f>'[4]1100'!$L$41</f>
        <v>0,00</v>
      </c>
    </row>
    <row r="42" spans="1:15" s="34" customFormat="1" ht="18" customHeight="1">
      <c r="A42" s="63" t="s">
        <v>72</v>
      </c>
      <c r="B42" s="203">
        <f>D42+E42+F42+G42</f>
        <v>3455.82</v>
      </c>
      <c r="C42" s="36">
        <f t="shared" si="6"/>
        <v>5.878340256085834E-06</v>
      </c>
      <c r="D42" s="46" t="str">
        <f>'[1]1100'!$D$46</f>
        <v>3.455,82</v>
      </c>
      <c r="E42" s="46">
        <f>'[2]1120'!$D$35+'[2]1120'!$D$36+'[2]1120'!$D$37+'[2]1120'!$D$38</f>
        <v>0</v>
      </c>
      <c r="F42" s="46">
        <f>F43+F44+F45+F46</f>
        <v>0</v>
      </c>
      <c r="G42" s="46">
        <f>G43+G44+G45+G46</f>
        <v>0</v>
      </c>
      <c r="H42" s="33"/>
      <c r="I42" s="1" t="s">
        <v>71</v>
      </c>
      <c r="J42" s="46">
        <f t="shared" si="9"/>
        <v>5606081.220000001</v>
      </c>
      <c r="K42" s="37">
        <f t="shared" si="7"/>
        <v>0.009535928640500022</v>
      </c>
      <c r="L42" s="45" t="str">
        <f>'[1]1100'!$L43</f>
        <v>755.003,43</v>
      </c>
      <c r="M42" s="45" t="str">
        <f>'[2]1120'!$L$23</f>
        <v>1.533.107,08</v>
      </c>
      <c r="N42" s="45" t="str">
        <f>'[3]1100'!$L$42</f>
        <v>2.415.653,46</v>
      </c>
      <c r="O42" s="45" t="str">
        <f>'[4]1100'!$L$42</f>
        <v>902.317,25</v>
      </c>
    </row>
    <row r="43" spans="1:15" s="34" customFormat="1" ht="18" customHeight="1">
      <c r="A43" s="33" t="s">
        <v>73</v>
      </c>
      <c r="B43" s="46">
        <f t="shared" si="8"/>
        <v>0</v>
      </c>
      <c r="C43" s="37" t="str">
        <f t="shared" si="6"/>
        <v>--</v>
      </c>
      <c r="D43" s="46" t="str">
        <f>'[1]1100'!$D$47</f>
        <v>0,00</v>
      </c>
      <c r="E43" s="46"/>
      <c r="F43" s="46"/>
      <c r="G43" s="46"/>
      <c r="H43" s="33"/>
      <c r="I43" s="1" t="s">
        <v>104</v>
      </c>
      <c r="J43" s="46">
        <f t="shared" si="9"/>
        <v>330727.5</v>
      </c>
      <c r="K43" s="37">
        <f t="shared" si="7"/>
        <v>0.0005625665622181211</v>
      </c>
      <c r="L43" s="45" t="str">
        <f>'[1]1100'!$L44</f>
        <v>67.373,46</v>
      </c>
      <c r="M43" s="45">
        <f>'[2]1120'!$L$25+'[2]1120'!$L$29+'[2]1120'!$L$21+'[2]1120'!$L$20+'[2]1120'!$L$19</f>
        <v>125750.08</v>
      </c>
      <c r="N43" s="45" t="str">
        <f>'[3]1100'!$L$48</f>
        <v>0,00</v>
      </c>
      <c r="O43" s="45" t="str">
        <f>'[4]1100'!$L$48</f>
        <v>137.603,96</v>
      </c>
    </row>
    <row r="44" spans="1:15" s="34" customFormat="1" ht="18" customHeight="1">
      <c r="A44" s="33" t="s">
        <v>74</v>
      </c>
      <c r="B44" s="46">
        <f t="shared" si="8"/>
        <v>0</v>
      </c>
      <c r="C44" s="36" t="str">
        <f t="shared" si="6"/>
        <v>--</v>
      </c>
      <c r="D44" s="46" t="str">
        <f>'[1]1100'!$D$48</f>
        <v>0,00</v>
      </c>
      <c r="E44" s="46">
        <f>'[2]1120'!$D$35+'[2]1120'!$D$36</f>
        <v>0</v>
      </c>
      <c r="F44" s="46" t="str">
        <f>'[3]1100'!$D$55</f>
        <v>0,00</v>
      </c>
      <c r="G44" s="46" t="str">
        <f>'[4]1100'!$D$55</f>
        <v>0,00</v>
      </c>
      <c r="H44" s="33"/>
      <c r="I44" s="1" t="s">
        <v>105</v>
      </c>
      <c r="J44" s="46">
        <f t="shared" si="9"/>
        <v>55803.96</v>
      </c>
      <c r="K44" s="37">
        <f t="shared" si="7"/>
        <v>9.492238152363365E-05</v>
      </c>
      <c r="L44" s="45">
        <f>'[1]1100'!$L45-0.01</f>
        <v>55803.96</v>
      </c>
      <c r="M44" s="45" t="str">
        <f>'[2]1120'!$L$24</f>
        <v>0,00</v>
      </c>
      <c r="N44" s="45" t="str">
        <f>'[3]1100'!$L$49</f>
        <v>0,00</v>
      </c>
      <c r="O44" s="45" t="str">
        <f>'[4]1100'!$L$49</f>
        <v>0,00</v>
      </c>
    </row>
    <row r="45" spans="1:15" s="34" customFormat="1" ht="18" customHeight="1">
      <c r="A45" s="33" t="s">
        <v>75</v>
      </c>
      <c r="B45" s="46">
        <f t="shared" si="8"/>
        <v>3455.82</v>
      </c>
      <c r="C45" s="37">
        <f t="shared" si="6"/>
        <v>5.878340256085834E-06</v>
      </c>
      <c r="D45" s="46" t="str">
        <f>'[1]1100'!$D$49</f>
        <v>3.455,82</v>
      </c>
      <c r="E45" s="46">
        <f>'[2]1120'!$D$37+'[2]1120'!$D$38</f>
        <v>0</v>
      </c>
      <c r="F45" s="46" t="str">
        <f>'[3]1100'!$D$56</f>
        <v>0,00</v>
      </c>
      <c r="G45" s="46" t="str">
        <f>'[4]1100'!$D$56</f>
        <v>0,00</v>
      </c>
      <c r="H45" s="33"/>
      <c r="I45" s="113" t="s">
        <v>106</v>
      </c>
      <c r="J45" s="203">
        <f>L45+M45+N45+O45</f>
        <v>17372219.01</v>
      </c>
      <c r="K45" s="36">
        <f t="shared" si="7"/>
        <v>0.029550096458734135</v>
      </c>
      <c r="L45" s="45" t="str">
        <f>'[1]1100'!$L46</f>
        <v>11.416.020,58</v>
      </c>
      <c r="M45" s="45" t="str">
        <f>'[2]1120'!$L$28</f>
        <v>3.348.813,31</v>
      </c>
      <c r="N45" s="45" t="str">
        <f>'[3]1100'!$L$50</f>
        <v>0,00</v>
      </c>
      <c r="O45" s="45" t="str">
        <f>'[4]1100'!$L$50</f>
        <v>2.607.385,12</v>
      </c>
    </row>
    <row r="46" spans="1:15" s="34" customFormat="1" ht="18" customHeight="1">
      <c r="A46" s="33" t="s">
        <v>66</v>
      </c>
      <c r="B46" s="46">
        <f t="shared" si="8"/>
        <v>0</v>
      </c>
      <c r="C46" s="37" t="str">
        <f t="shared" si="6"/>
        <v>--</v>
      </c>
      <c r="D46" s="46" t="str">
        <f>'[1]1100'!$D$50</f>
        <v>0,00</v>
      </c>
      <c r="E46" s="46"/>
      <c r="F46" s="46"/>
      <c r="G46" s="46"/>
      <c r="H46" s="33"/>
      <c r="I46" s="70" t="s">
        <v>107</v>
      </c>
      <c r="J46" s="202">
        <f>L46+M46+N46+O46</f>
        <v>0</v>
      </c>
      <c r="K46" s="32" t="str">
        <f t="shared" si="7"/>
        <v>--</v>
      </c>
      <c r="L46" s="45" t="str">
        <f>'[1]1100'!$L47</f>
        <v>0,00</v>
      </c>
      <c r="M46" s="45"/>
      <c r="N46" s="45"/>
      <c r="O46" s="45"/>
    </row>
    <row r="47" spans="1:15" s="34" customFormat="1" ht="18" customHeight="1">
      <c r="A47" s="63" t="s">
        <v>76</v>
      </c>
      <c r="B47" s="203">
        <f>D47+E47+F47+G47</f>
        <v>22633346.389999997</v>
      </c>
      <c r="C47" s="36">
        <f t="shared" si="6"/>
        <v>0.03849925957204715</v>
      </c>
      <c r="D47" s="46" t="str">
        <f>'[1]1100'!$D51</f>
        <v>10.178.759,03</v>
      </c>
      <c r="E47" s="46">
        <f>'[2]1120'!$D$39+'[2]1120'!$D$40+'[2]1120'!$D$41</f>
        <v>10389925.27</v>
      </c>
      <c r="F47" s="46" t="str">
        <f>'[3]1100'!$D$59</f>
        <v>1.609.412,16</v>
      </c>
      <c r="G47" s="46" t="str">
        <f>'[4]1100'!$D$59</f>
        <v>455.249,93</v>
      </c>
      <c r="H47" s="33"/>
      <c r="I47" s="114" t="s">
        <v>108</v>
      </c>
      <c r="J47" s="46">
        <f aca="true" t="shared" si="10" ref="J47">L47+M47+N47+O47</f>
        <v>0</v>
      </c>
      <c r="K47" s="37" t="str">
        <f t="shared" si="7"/>
        <v>--</v>
      </c>
      <c r="L47" s="45" t="str">
        <f>'[1]1100'!$L48</f>
        <v>0,00</v>
      </c>
      <c r="M47" s="45"/>
      <c r="N47" s="45"/>
      <c r="O47" s="45"/>
    </row>
    <row r="48" spans="1:15" s="34" customFormat="1" ht="18" customHeight="1">
      <c r="A48" s="63" t="s">
        <v>77</v>
      </c>
      <c r="B48" s="203">
        <f>D48+E48+F48+G48</f>
        <v>0</v>
      </c>
      <c r="C48" s="36" t="str">
        <f t="shared" si="6"/>
        <v>--</v>
      </c>
      <c r="D48" s="46" t="str">
        <f>'[1]1100'!$D52</f>
        <v>0,00</v>
      </c>
      <c r="E48" s="46">
        <f>'[2]1120'!$D$42+'[2]1120'!$D$43</f>
        <v>0</v>
      </c>
      <c r="F48" s="46" t="str">
        <f>'[3]1100'!$D$60</f>
        <v>0,00</v>
      </c>
      <c r="G48" s="46" t="str">
        <f>'[4]1100'!$D$60</f>
        <v>0,00</v>
      </c>
      <c r="H48" s="33"/>
      <c r="I48" s="227"/>
      <c r="J48" s="46"/>
      <c r="K48" s="37"/>
      <c r="L48" s="45"/>
      <c r="M48" s="45"/>
      <c r="N48" s="45"/>
      <c r="O48" s="45"/>
    </row>
    <row r="49" spans="1:15" s="34" customFormat="1" ht="18" customHeight="1" thickBot="1">
      <c r="A49" s="38" t="s">
        <v>78</v>
      </c>
      <c r="B49" s="204">
        <f>D49+E49+F49+G49</f>
        <v>587890433.26</v>
      </c>
      <c r="C49" s="40">
        <f>IF((B49/$B$49)=0,"--",B49/$B$49)</f>
        <v>1</v>
      </c>
      <c r="D49" s="46">
        <f>D35+D32+D13</f>
        <v>238850690.56</v>
      </c>
      <c r="E49" s="46">
        <f>E35+E32+E13</f>
        <v>177021096.45999998</v>
      </c>
      <c r="F49" s="46">
        <f>F35+F32+F13</f>
        <v>138389184.76</v>
      </c>
      <c r="G49" s="46">
        <f>G35+G32+G13</f>
        <v>33629461.480000004</v>
      </c>
      <c r="H49" s="33"/>
      <c r="I49" s="38" t="s">
        <v>109</v>
      </c>
      <c r="J49" s="204">
        <f>L49+M49+N49+O49</f>
        <v>587890433.26</v>
      </c>
      <c r="K49" s="40">
        <f>IF((J49/$J$49)=0,"--",J49/$J$49)</f>
        <v>1</v>
      </c>
      <c r="L49" s="45">
        <f>L46+L35+L26+L25+L24+L13</f>
        <v>238850690.56</v>
      </c>
      <c r="M49" s="45">
        <f>M46+M35+M26+M25+M24+M13</f>
        <v>177021096.46</v>
      </c>
      <c r="N49" s="45">
        <f>N46+N35+N26+N25+N24+N13</f>
        <v>138389184.76</v>
      </c>
      <c r="O49" s="45">
        <f>O46+O35+O26+O25+O24+O13</f>
        <v>33629461.48</v>
      </c>
    </row>
    <row r="50" spans="2:10" s="34" customFormat="1" ht="18" customHeight="1">
      <c r="B50" s="42"/>
      <c r="C50" s="42"/>
      <c r="D50" s="37"/>
      <c r="E50" s="37"/>
      <c r="F50" s="37"/>
      <c r="G50" s="37"/>
      <c r="H50" s="33"/>
      <c r="J50" s="42"/>
    </row>
    <row r="51" spans="1:15" s="34" customFormat="1" ht="18" customHeight="1">
      <c r="A51" s="63" t="s">
        <v>424</v>
      </c>
      <c r="B51" s="46"/>
      <c r="C51" s="46"/>
      <c r="D51" s="46"/>
      <c r="E51" s="46"/>
      <c r="F51" s="46"/>
      <c r="G51" s="46"/>
      <c r="H51" s="33"/>
      <c r="J51" s="42"/>
      <c r="L51" s="199"/>
      <c r="M51" s="199"/>
      <c r="N51" s="199"/>
      <c r="O51" s="199"/>
    </row>
    <row r="52" spans="1:10" s="34" customFormat="1" ht="18" customHeight="1">
      <c r="A52" s="33"/>
      <c r="B52" s="42"/>
      <c r="C52" s="42"/>
      <c r="D52" s="46"/>
      <c r="E52" s="46"/>
      <c r="F52" s="46"/>
      <c r="G52" s="46"/>
      <c r="H52" s="33"/>
      <c r="J52" s="42"/>
    </row>
    <row r="53" spans="2:11" s="34" customFormat="1" ht="18" customHeight="1">
      <c r="B53" s="42"/>
      <c r="C53" s="42"/>
      <c r="D53" s="37"/>
      <c r="E53" s="37"/>
      <c r="F53" s="37"/>
      <c r="G53" s="37"/>
      <c r="H53" s="33"/>
      <c r="I53" s="3"/>
      <c r="J53" s="26"/>
      <c r="K53" s="3"/>
    </row>
    <row r="54" spans="2:11" s="34" customFormat="1" ht="18" customHeight="1">
      <c r="B54" s="42"/>
      <c r="C54" s="42"/>
      <c r="D54" s="36"/>
      <c r="E54" s="36"/>
      <c r="F54" s="36"/>
      <c r="G54" s="36"/>
      <c r="H54" s="33"/>
      <c r="I54" s="3"/>
      <c r="J54" s="26"/>
      <c r="K54" s="3"/>
    </row>
    <row r="55" spans="2:11" s="34" customFormat="1" ht="18" customHeight="1">
      <c r="B55" s="42"/>
      <c r="C55" s="42"/>
      <c r="D55" s="37"/>
      <c r="E55" s="37"/>
      <c r="F55" s="37"/>
      <c r="G55" s="37"/>
      <c r="H55" s="33"/>
      <c r="I55" s="3"/>
      <c r="J55" s="26"/>
      <c r="K55" s="3"/>
    </row>
    <row r="56" spans="1:11" s="34" customFormat="1" ht="18" customHeight="1">
      <c r="A56" s="3"/>
      <c r="B56" s="26"/>
      <c r="C56" s="26"/>
      <c r="D56" s="37"/>
      <c r="E56" s="37"/>
      <c r="F56" s="37"/>
      <c r="G56" s="37"/>
      <c r="H56" s="33"/>
      <c r="I56" s="3"/>
      <c r="J56" s="26"/>
      <c r="K56" s="3"/>
    </row>
    <row r="57" spans="1:11" s="34" customFormat="1" ht="18" customHeight="1">
      <c r="A57" s="3"/>
      <c r="B57" s="26"/>
      <c r="C57" s="26"/>
      <c r="D57" s="37"/>
      <c r="E57" s="37"/>
      <c r="F57" s="37"/>
      <c r="G57" s="37"/>
      <c r="H57" s="33"/>
      <c r="I57" s="3"/>
      <c r="J57" s="26"/>
      <c r="K57" s="3"/>
    </row>
    <row r="58" spans="1:11" s="34" customFormat="1" ht="18" customHeight="1">
      <c r="A58" s="3"/>
      <c r="B58" s="26"/>
      <c r="C58" s="26"/>
      <c r="D58" s="37"/>
      <c r="E58" s="37"/>
      <c r="F58" s="37"/>
      <c r="G58" s="37"/>
      <c r="H58" s="33"/>
      <c r="I58" s="3"/>
      <c r="J58" s="26"/>
      <c r="K58" s="3"/>
    </row>
    <row r="59" spans="1:11" s="34" customFormat="1" ht="18" customHeight="1">
      <c r="A59" s="3"/>
      <c r="B59" s="26"/>
      <c r="C59" s="26"/>
      <c r="D59" s="37"/>
      <c r="E59" s="37"/>
      <c r="F59" s="37"/>
      <c r="G59" s="37"/>
      <c r="H59" s="33"/>
      <c r="I59" s="3"/>
      <c r="J59" s="26"/>
      <c r="K59" s="3"/>
    </row>
    <row r="60" spans="1:11" s="34" customFormat="1" ht="18" customHeight="1">
      <c r="A60" s="3"/>
      <c r="B60" s="26"/>
      <c r="C60" s="26"/>
      <c r="D60" s="37"/>
      <c r="E60" s="37"/>
      <c r="F60" s="37"/>
      <c r="G60" s="37"/>
      <c r="H60" s="33"/>
      <c r="I60" s="3"/>
      <c r="J60" s="26"/>
      <c r="K60" s="3"/>
    </row>
    <row r="61" spans="1:11" s="34" customFormat="1" ht="18" customHeight="1">
      <c r="A61" s="3"/>
      <c r="B61" s="26"/>
      <c r="C61" s="26"/>
      <c r="D61" s="36"/>
      <c r="E61" s="36"/>
      <c r="F61" s="36"/>
      <c r="G61" s="36"/>
      <c r="H61" s="33"/>
      <c r="I61" s="3"/>
      <c r="J61" s="26"/>
      <c r="K61" s="3"/>
    </row>
    <row r="62" spans="1:11" s="34" customFormat="1" ht="18" customHeight="1">
      <c r="A62" s="3"/>
      <c r="B62" s="26"/>
      <c r="C62" s="26"/>
      <c r="D62" s="37"/>
      <c r="E62" s="37"/>
      <c r="F62" s="37"/>
      <c r="G62" s="37"/>
      <c r="H62" s="33"/>
      <c r="I62" s="3"/>
      <c r="J62" s="26"/>
      <c r="K62" s="3"/>
    </row>
    <row r="63" spans="1:11" s="34" customFormat="1" ht="18" customHeight="1">
      <c r="A63" s="3"/>
      <c r="B63" s="26"/>
      <c r="C63" s="26"/>
      <c r="D63" s="37"/>
      <c r="E63" s="37"/>
      <c r="F63" s="37"/>
      <c r="G63" s="37"/>
      <c r="H63" s="33"/>
      <c r="I63" s="3"/>
      <c r="J63" s="26"/>
      <c r="K63" s="3"/>
    </row>
    <row r="64" spans="1:11" s="34" customFormat="1" ht="18" customHeight="1">
      <c r="A64" s="3"/>
      <c r="B64" s="26"/>
      <c r="C64" s="26"/>
      <c r="D64" s="37"/>
      <c r="E64" s="37"/>
      <c r="F64" s="37"/>
      <c r="G64" s="37"/>
      <c r="H64" s="33"/>
      <c r="I64" s="3"/>
      <c r="J64" s="26"/>
      <c r="K64" s="3"/>
    </row>
    <row r="65" spans="1:11" s="34" customFormat="1" ht="18" customHeight="1">
      <c r="A65" s="3"/>
      <c r="B65" s="26"/>
      <c r="C65" s="26"/>
      <c r="D65" s="37"/>
      <c r="E65" s="37"/>
      <c r="F65" s="37"/>
      <c r="G65" s="37"/>
      <c r="H65" s="33"/>
      <c r="I65" s="3"/>
      <c r="J65" s="26"/>
      <c r="K65" s="3"/>
    </row>
    <row r="66" spans="1:11" s="34" customFormat="1" ht="18" customHeight="1">
      <c r="A66" s="3"/>
      <c r="B66" s="26"/>
      <c r="C66" s="26"/>
      <c r="D66" s="37"/>
      <c r="E66" s="37"/>
      <c r="F66" s="37"/>
      <c r="G66" s="37"/>
      <c r="H66" s="33"/>
      <c r="I66" s="3"/>
      <c r="J66" s="26"/>
      <c r="K66" s="3"/>
    </row>
    <row r="67" spans="1:11" s="34" customFormat="1" ht="18" customHeight="1">
      <c r="A67" s="3"/>
      <c r="B67" s="26"/>
      <c r="C67" s="26"/>
      <c r="D67" s="37"/>
      <c r="E67" s="37"/>
      <c r="F67" s="37"/>
      <c r="G67" s="37"/>
      <c r="H67" s="33"/>
      <c r="I67" s="3"/>
      <c r="J67" s="26"/>
      <c r="K67" s="3"/>
    </row>
    <row r="68" spans="1:11" s="34" customFormat="1" ht="18" customHeight="1">
      <c r="A68" s="3"/>
      <c r="B68" s="26"/>
      <c r="C68" s="26"/>
      <c r="D68" s="36"/>
      <c r="E68" s="36"/>
      <c r="F68" s="36"/>
      <c r="G68" s="36"/>
      <c r="H68" s="33"/>
      <c r="I68" s="3"/>
      <c r="J68" s="26"/>
      <c r="K68" s="3"/>
    </row>
    <row r="69" spans="1:11" s="34" customFormat="1" ht="18" customHeight="1">
      <c r="A69" s="3"/>
      <c r="B69" s="26"/>
      <c r="C69" s="26"/>
      <c r="D69" s="36"/>
      <c r="E69" s="36"/>
      <c r="F69" s="36"/>
      <c r="G69" s="36"/>
      <c r="H69" s="33"/>
      <c r="I69" s="3"/>
      <c r="J69" s="26"/>
      <c r="K69" s="3"/>
    </row>
    <row r="70" spans="1:15" s="34" customFormat="1" ht="18" customHeight="1">
      <c r="A70" s="3"/>
      <c r="B70" s="26"/>
      <c r="C70" s="26"/>
      <c r="D70" s="37"/>
      <c r="E70" s="37"/>
      <c r="F70" s="37"/>
      <c r="G70" s="37"/>
      <c r="H70" s="33"/>
      <c r="I70" s="3"/>
      <c r="J70" s="26"/>
      <c r="K70" s="3"/>
      <c r="L70" s="3"/>
      <c r="M70" s="3"/>
      <c r="N70" s="3"/>
      <c r="O70" s="3"/>
    </row>
    <row r="71" spans="1:11" s="34" customFormat="1" ht="18" customHeight="1">
      <c r="A71" s="3"/>
      <c r="B71" s="26"/>
      <c r="C71" s="26"/>
      <c r="D71" s="37"/>
      <c r="E71" s="37"/>
      <c r="F71" s="37"/>
      <c r="G71" s="37"/>
      <c r="H71" s="33"/>
      <c r="I71" s="3"/>
      <c r="J71" s="26"/>
      <c r="K71" s="3"/>
    </row>
    <row r="72" spans="1:15" s="34" customFormat="1" ht="18" customHeight="1">
      <c r="A72" s="3"/>
      <c r="B72" s="26"/>
      <c r="C72" s="26"/>
      <c r="D72" s="43"/>
      <c r="E72" s="43"/>
      <c r="F72" s="43"/>
      <c r="G72" s="43"/>
      <c r="H72" s="33"/>
      <c r="I72" s="3"/>
      <c r="J72" s="26"/>
      <c r="K72" s="3"/>
      <c r="L72" s="3"/>
      <c r="M72" s="3"/>
      <c r="N72" s="3"/>
      <c r="O72" s="3"/>
    </row>
    <row r="73" spans="1:11" s="34" customFormat="1" ht="18" customHeight="1">
      <c r="A73" s="3"/>
      <c r="B73" s="26"/>
      <c r="C73" s="26"/>
      <c r="D73" s="41"/>
      <c r="E73" s="41"/>
      <c r="F73" s="41"/>
      <c r="G73" s="41"/>
      <c r="H73" s="33"/>
      <c r="I73" s="3"/>
      <c r="J73" s="26"/>
      <c r="K73" s="3"/>
    </row>
    <row r="74" spans="1:11" s="34" customFormat="1" ht="18" customHeight="1">
      <c r="A74" s="3"/>
      <c r="B74" s="26"/>
      <c r="C74" s="26"/>
      <c r="D74" s="42"/>
      <c r="E74" s="42"/>
      <c r="F74" s="42"/>
      <c r="G74" s="42"/>
      <c r="H74" s="33"/>
      <c r="I74" s="3"/>
      <c r="J74" s="26"/>
      <c r="K74" s="3"/>
    </row>
    <row r="75" spans="1:11" s="34" customFormat="1" ht="18" customHeight="1">
      <c r="A75" s="3"/>
      <c r="B75" s="26"/>
      <c r="C75" s="26"/>
      <c r="D75" s="26"/>
      <c r="E75" s="26"/>
      <c r="F75" s="26"/>
      <c r="G75" s="26"/>
      <c r="H75" s="33"/>
      <c r="I75" s="3"/>
      <c r="J75" s="26"/>
      <c r="K75" s="3"/>
    </row>
    <row r="76" spans="1:11" s="34" customFormat="1" ht="18" customHeight="1">
      <c r="A76" s="3"/>
      <c r="B76" s="26"/>
      <c r="C76" s="26"/>
      <c r="D76" s="42"/>
      <c r="E76" s="42"/>
      <c r="F76" s="42"/>
      <c r="G76" s="42"/>
      <c r="H76" s="33"/>
      <c r="I76" s="3"/>
      <c r="J76" s="26"/>
      <c r="K76" s="3"/>
    </row>
    <row r="77" spans="1:11" s="34" customFormat="1" ht="18" customHeight="1">
      <c r="A77" s="3"/>
      <c r="B77" s="26"/>
      <c r="C77" s="26"/>
      <c r="D77" s="42"/>
      <c r="E77" s="42"/>
      <c r="F77" s="42"/>
      <c r="G77" s="42"/>
      <c r="H77" s="33"/>
      <c r="I77" s="3"/>
      <c r="J77" s="26"/>
      <c r="K77" s="3"/>
    </row>
    <row r="78" spans="1:11" s="34" customFormat="1" ht="18" customHeight="1">
      <c r="A78" s="3"/>
      <c r="B78" s="26"/>
      <c r="C78" s="26"/>
      <c r="D78" s="42"/>
      <c r="E78" s="42"/>
      <c r="F78" s="42"/>
      <c r="G78" s="42"/>
      <c r="H78" s="33"/>
      <c r="I78" s="3"/>
      <c r="J78" s="26"/>
      <c r="K78" s="3"/>
    </row>
    <row r="79" spans="1:11" s="34" customFormat="1" ht="18" customHeight="1">
      <c r="A79" s="3"/>
      <c r="B79" s="26"/>
      <c r="C79" s="26"/>
      <c r="D79" s="42"/>
      <c r="E79" s="42"/>
      <c r="F79" s="42"/>
      <c r="G79" s="42"/>
      <c r="H79" s="33"/>
      <c r="I79" s="3"/>
      <c r="J79" s="26"/>
      <c r="K79" s="3"/>
    </row>
    <row r="80" spans="1:15" s="34" customFormat="1" ht="18" customHeight="1">
      <c r="A80" s="3"/>
      <c r="B80" s="26"/>
      <c r="C80" s="26"/>
      <c r="D80" s="42"/>
      <c r="E80" s="42"/>
      <c r="F80" s="42"/>
      <c r="G80" s="42"/>
      <c r="H80" s="33"/>
      <c r="I80" s="3"/>
      <c r="J80" s="26"/>
      <c r="K80" s="3"/>
      <c r="L80" s="3"/>
      <c r="M80" s="3"/>
      <c r="N80" s="3"/>
      <c r="O80" s="3"/>
    </row>
    <row r="81" spans="1:15" s="34" customFormat="1" ht="18" customHeight="1">
      <c r="A81" s="3"/>
      <c r="B81" s="26"/>
      <c r="C81" s="26"/>
      <c r="D81" s="42"/>
      <c r="E81" s="42"/>
      <c r="F81" s="42"/>
      <c r="G81" s="42"/>
      <c r="H81" s="33"/>
      <c r="I81" s="3"/>
      <c r="J81" s="26"/>
      <c r="K81" s="3"/>
      <c r="L81" s="3"/>
      <c r="M81" s="3"/>
      <c r="N81" s="3"/>
      <c r="O81" s="3"/>
    </row>
    <row r="82" spans="1:15" s="34" customFormat="1" ht="18" customHeight="1">
      <c r="A82" s="3"/>
      <c r="B82" s="26"/>
      <c r="C82" s="26"/>
      <c r="D82" s="42"/>
      <c r="E82" s="42"/>
      <c r="F82" s="42"/>
      <c r="G82" s="42"/>
      <c r="H82" s="33"/>
      <c r="I82" s="3"/>
      <c r="J82" s="26"/>
      <c r="K82" s="3"/>
      <c r="L82" s="3"/>
      <c r="M82" s="3"/>
      <c r="N82" s="3"/>
      <c r="O82" s="3"/>
    </row>
    <row r="83" spans="8:16" ht="12.95" customHeight="1">
      <c r="H83" s="17"/>
      <c r="P83" s="34"/>
    </row>
    <row r="84" spans="1:16" s="34" customFormat="1" ht="12.95" customHeight="1">
      <c r="A84" s="3"/>
      <c r="B84" s="26"/>
      <c r="C84" s="26"/>
      <c r="D84" s="26"/>
      <c r="E84" s="26"/>
      <c r="F84" s="26"/>
      <c r="G84" s="26"/>
      <c r="I84" s="3"/>
      <c r="J84" s="26"/>
      <c r="K84" s="3"/>
      <c r="L84" s="3"/>
      <c r="M84" s="3"/>
      <c r="N84" s="3"/>
      <c r="O84" s="3"/>
      <c r="P84" s="3"/>
    </row>
    <row r="85" spans="8:16" ht="18" customHeight="1">
      <c r="H85" s="26"/>
      <c r="P85" s="34"/>
    </row>
    <row r="86" spans="1:16" s="34" customFormat="1" ht="15.75">
      <c r="A86" s="3"/>
      <c r="B86" s="26"/>
      <c r="C86" s="26"/>
      <c r="D86" s="26"/>
      <c r="E86" s="26"/>
      <c r="F86" s="26"/>
      <c r="G86" s="26"/>
      <c r="I86" s="3"/>
      <c r="J86" s="26"/>
      <c r="K86" s="3"/>
      <c r="L86" s="3"/>
      <c r="M86" s="3"/>
      <c r="N86" s="3"/>
      <c r="O86" s="3"/>
      <c r="P86" s="3"/>
    </row>
    <row r="87" spans="1:15" s="34" customFormat="1" ht="15.75">
      <c r="A87" s="3"/>
      <c r="B87" s="26"/>
      <c r="C87" s="26"/>
      <c r="D87" s="26"/>
      <c r="E87" s="26"/>
      <c r="F87" s="26"/>
      <c r="G87" s="26"/>
      <c r="I87" s="3"/>
      <c r="J87" s="26"/>
      <c r="K87" s="3"/>
      <c r="L87" s="3"/>
      <c r="M87" s="3"/>
      <c r="N87" s="3"/>
      <c r="O87" s="3"/>
    </row>
    <row r="88" spans="1:15" s="34" customFormat="1" ht="15.75">
      <c r="A88" s="3"/>
      <c r="B88" s="26"/>
      <c r="C88" s="26"/>
      <c r="D88" s="26"/>
      <c r="E88" s="26"/>
      <c r="F88" s="26"/>
      <c r="G88" s="26"/>
      <c r="I88" s="3"/>
      <c r="J88" s="26"/>
      <c r="K88" s="3"/>
      <c r="L88" s="3"/>
      <c r="M88" s="3"/>
      <c r="N88" s="3"/>
      <c r="O88" s="3"/>
    </row>
    <row r="89" spans="1:15" s="34" customFormat="1" ht="15.75">
      <c r="A89" s="3"/>
      <c r="B89" s="26"/>
      <c r="C89" s="26"/>
      <c r="D89" s="26"/>
      <c r="E89" s="26"/>
      <c r="F89" s="26"/>
      <c r="G89" s="26"/>
      <c r="I89" s="3"/>
      <c r="J89" s="26"/>
      <c r="K89" s="3"/>
      <c r="L89" s="3"/>
      <c r="M89" s="3"/>
      <c r="N89" s="3"/>
      <c r="O89" s="3"/>
    </row>
    <row r="90" spans="1:15" s="34" customFormat="1" ht="15.75">
      <c r="A90" s="3"/>
      <c r="B90" s="26"/>
      <c r="C90" s="26"/>
      <c r="D90" s="26"/>
      <c r="E90" s="26"/>
      <c r="F90" s="26"/>
      <c r="G90" s="26"/>
      <c r="I90" s="3"/>
      <c r="J90" s="26"/>
      <c r="K90" s="3"/>
      <c r="L90" s="3"/>
      <c r="M90" s="3"/>
      <c r="N90" s="3"/>
      <c r="O90" s="3"/>
    </row>
    <row r="91" spans="1:15" s="34" customFormat="1" ht="15.75">
      <c r="A91" s="3"/>
      <c r="B91" s="26"/>
      <c r="C91" s="26"/>
      <c r="D91" s="26"/>
      <c r="E91" s="26"/>
      <c r="F91" s="26"/>
      <c r="G91" s="26"/>
      <c r="I91" s="3"/>
      <c r="J91" s="26"/>
      <c r="K91" s="3"/>
      <c r="L91" s="3"/>
      <c r="M91" s="3"/>
      <c r="N91" s="3"/>
      <c r="O91" s="3"/>
    </row>
    <row r="92" spans="1:15" s="34" customFormat="1" ht="15.75">
      <c r="A92" s="3"/>
      <c r="B92" s="26"/>
      <c r="C92" s="26"/>
      <c r="D92" s="26"/>
      <c r="E92" s="26"/>
      <c r="F92" s="26"/>
      <c r="G92" s="26"/>
      <c r="I92" s="3"/>
      <c r="J92" s="26"/>
      <c r="K92" s="3"/>
      <c r="L92" s="3"/>
      <c r="M92" s="3"/>
      <c r="N92" s="3"/>
      <c r="O92" s="3"/>
    </row>
    <row r="93" ht="15.75">
      <c r="P93" s="34"/>
    </row>
  </sheetData>
  <mergeCells count="1">
    <mergeCell ref="J5:K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76"/>
  <sheetViews>
    <sheetView zoomScale="75" zoomScaleNormal="75" workbookViewId="0" topLeftCell="A1"/>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4.00390625" style="3" customWidth="1"/>
    <col min="8" max="8" width="17.8515625" style="3" customWidth="1"/>
    <col min="9" max="9" width="11.421875" style="3" customWidth="1"/>
    <col min="10" max="10" width="14.421875" style="3" customWidth="1"/>
    <col min="11" max="11" width="18.7109375" style="3" customWidth="1"/>
    <col min="12" max="16384" width="11.421875" style="3" customWidth="1"/>
  </cols>
  <sheetData>
    <row r="1" spans="1:82" ht="60" customHeight="1">
      <c r="A1" s="5"/>
      <c r="B1" s="6"/>
      <c r="C1" s="15"/>
      <c r="D1" s="15"/>
      <c r="E1" s="15"/>
      <c r="F1" s="15"/>
      <c r="G1" s="6"/>
      <c r="H1" s="6"/>
      <c r="I1" s="6"/>
      <c r="J1" s="7" t="s">
        <v>7</v>
      </c>
      <c r="K1" s="8">
        <f>Balance!K1</f>
        <v>1995</v>
      </c>
      <c r="L1" s="48"/>
      <c r="M1" s="48"/>
      <c r="N1" s="48"/>
      <c r="O1" s="48"/>
      <c r="P1" s="48"/>
      <c r="Q1" s="48"/>
      <c r="R1" s="48"/>
      <c r="S1" s="48"/>
      <c r="T1" s="48"/>
      <c r="U1" s="48"/>
      <c r="V1" s="48"/>
      <c r="W1" s="48"/>
      <c r="X1" s="48"/>
      <c r="Y1" s="48"/>
      <c r="Z1" s="48"/>
      <c r="AA1" s="48"/>
      <c r="AB1" s="48"/>
      <c r="AC1" s="48"/>
      <c r="AD1" s="48"/>
      <c r="AE1" s="48"/>
      <c r="AF1" s="48"/>
      <c r="AG1" s="49"/>
      <c r="AH1" s="49"/>
      <c r="AI1" s="49"/>
      <c r="AJ1" s="49"/>
      <c r="AK1" s="49"/>
      <c r="AL1" s="49"/>
      <c r="AM1" s="49"/>
      <c r="AN1" s="49"/>
      <c r="AO1" s="49"/>
      <c r="AP1" s="49"/>
      <c r="AQ1" s="49"/>
      <c r="AR1" s="49"/>
      <c r="AS1" s="49"/>
      <c r="AT1" s="49"/>
      <c r="AU1" s="49"/>
      <c r="AV1" s="49"/>
      <c r="AW1" s="49"/>
      <c r="AX1" s="49"/>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2.95" customHeight="1" thickBot="1">
      <c r="A2" s="5"/>
      <c r="B2" s="6"/>
      <c r="C2" s="15"/>
      <c r="D2" s="15"/>
      <c r="E2" s="15"/>
      <c r="F2" s="15"/>
      <c r="G2" s="6"/>
      <c r="H2" s="6"/>
      <c r="I2" s="6"/>
      <c r="J2" s="9"/>
      <c r="K2" s="9"/>
      <c r="L2" s="48"/>
      <c r="M2" s="48"/>
      <c r="N2" s="48"/>
      <c r="O2" s="48"/>
      <c r="P2" s="48"/>
      <c r="Q2" s="48"/>
      <c r="R2" s="48"/>
      <c r="S2" s="48"/>
      <c r="T2" s="48"/>
      <c r="U2" s="48"/>
      <c r="V2" s="48"/>
      <c r="W2" s="48"/>
      <c r="X2" s="48"/>
      <c r="Y2" s="48"/>
      <c r="Z2" s="48"/>
      <c r="AA2" s="48"/>
      <c r="AB2" s="48"/>
      <c r="AC2" s="48"/>
      <c r="AD2" s="48"/>
      <c r="AE2" s="48"/>
      <c r="AF2" s="48"/>
      <c r="AG2" s="49"/>
      <c r="AH2" s="49"/>
      <c r="AI2" s="49"/>
      <c r="AJ2" s="49"/>
      <c r="AK2" s="49"/>
      <c r="AL2" s="49"/>
      <c r="AM2" s="49"/>
      <c r="AN2" s="49"/>
      <c r="AO2" s="49"/>
      <c r="AP2" s="49"/>
      <c r="AQ2" s="49"/>
      <c r="AR2" s="49"/>
      <c r="AS2" s="49"/>
      <c r="AT2" s="49"/>
      <c r="AU2" s="49"/>
      <c r="AV2" s="49"/>
      <c r="AW2" s="49"/>
      <c r="AX2" s="49"/>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ht="33" customHeight="1">
      <c r="A3" s="75" t="str">
        <f>"                                            "&amp;"UNIVERSIDADES"</f>
        <v xml:space="preserve">                                            UNIVERSIDADES</v>
      </c>
      <c r="B3" s="10"/>
      <c r="C3" s="15"/>
      <c r="D3" s="45"/>
      <c r="E3" s="15"/>
      <c r="F3" s="15"/>
      <c r="G3" s="10"/>
      <c r="H3" s="11"/>
      <c r="I3" s="11"/>
      <c r="J3" s="12"/>
      <c r="K3" s="13"/>
      <c r="L3" s="48"/>
      <c r="M3" s="48"/>
      <c r="N3" s="48"/>
      <c r="O3" s="48"/>
      <c r="P3" s="48"/>
      <c r="Q3" s="48"/>
      <c r="R3" s="48"/>
      <c r="S3" s="48"/>
      <c r="T3" s="48"/>
      <c r="U3" s="48"/>
      <c r="V3" s="48"/>
      <c r="W3" s="48"/>
      <c r="X3" s="48"/>
      <c r="Y3" s="48"/>
      <c r="Z3" s="48"/>
      <c r="AA3" s="48"/>
      <c r="AB3" s="48"/>
      <c r="AC3" s="48"/>
      <c r="AD3" s="48"/>
      <c r="AE3" s="48"/>
      <c r="AF3" s="48"/>
      <c r="AG3" s="50"/>
      <c r="AH3" s="50"/>
      <c r="AI3" s="50"/>
      <c r="AJ3" s="50"/>
      <c r="AK3" s="50"/>
      <c r="AL3" s="50"/>
      <c r="AM3" s="50"/>
      <c r="AN3" s="50"/>
      <c r="AO3" s="50"/>
      <c r="AP3" s="50"/>
      <c r="AQ3" s="50"/>
      <c r="AR3" s="50"/>
      <c r="AS3" s="50"/>
      <c r="AT3" s="50"/>
      <c r="AU3" s="50"/>
      <c r="AV3" s="50"/>
      <c r="AW3" s="50"/>
      <c r="AX3" s="50"/>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20.1" customHeight="1">
      <c r="A4" s="14" t="s">
        <v>31</v>
      </c>
      <c r="B4" s="15"/>
      <c r="C4" s="15"/>
      <c r="D4" s="15"/>
      <c r="E4" s="15"/>
      <c r="F4" s="15"/>
      <c r="G4" s="15"/>
      <c r="H4" s="14"/>
      <c r="I4" s="14"/>
      <c r="J4" s="16"/>
      <c r="K4" s="17"/>
      <c r="L4" s="48"/>
      <c r="M4" s="48"/>
      <c r="N4" s="48"/>
      <c r="O4" s="48"/>
      <c r="P4" s="48"/>
      <c r="Q4" s="48"/>
      <c r="R4" s="48"/>
      <c r="S4" s="48"/>
      <c r="T4" s="48"/>
      <c r="U4" s="48"/>
      <c r="V4" s="48"/>
      <c r="W4" s="48"/>
      <c r="X4" s="48"/>
      <c r="Y4" s="48"/>
      <c r="Z4" s="48"/>
      <c r="AA4" s="48"/>
      <c r="AB4" s="48"/>
      <c r="AC4" s="48"/>
      <c r="AD4" s="48"/>
      <c r="AE4" s="48"/>
      <c r="AF4" s="48"/>
      <c r="AG4" s="50"/>
      <c r="AH4" s="50"/>
      <c r="AI4" s="50"/>
      <c r="AJ4" s="50"/>
      <c r="AK4" s="50"/>
      <c r="AL4" s="50"/>
      <c r="AM4" s="50"/>
      <c r="AN4" s="50"/>
      <c r="AO4" s="50"/>
      <c r="AP4" s="50"/>
      <c r="AQ4" s="50"/>
      <c r="AR4" s="50"/>
      <c r="AS4" s="50"/>
      <c r="AT4" s="50"/>
      <c r="AU4" s="50"/>
      <c r="AV4" s="50"/>
      <c r="AW4" s="50"/>
      <c r="AX4" s="50"/>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18" customHeight="1" thickBot="1">
      <c r="A5" s="18"/>
      <c r="B5" s="19"/>
      <c r="C5" s="21"/>
      <c r="D5" s="21"/>
      <c r="E5" s="21"/>
      <c r="F5" s="21"/>
      <c r="G5" s="19"/>
      <c r="H5" s="19"/>
      <c r="I5" s="76" t="str">
        <f>"Población a 01/01/"&amp;K1</f>
        <v>Población a 01/01/1995</v>
      </c>
      <c r="J5" s="51"/>
      <c r="K5" s="78">
        <f>Balance!J5</f>
        <v>3969401</v>
      </c>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15" customHeight="1">
      <c r="A6" s="20"/>
      <c r="B6" s="21"/>
      <c r="C6" s="21"/>
      <c r="D6" s="21"/>
      <c r="E6" s="21"/>
      <c r="F6" s="21"/>
      <c r="G6" s="21"/>
      <c r="H6" s="21"/>
      <c r="I6" s="22"/>
      <c r="J6" s="16"/>
      <c r="K6" s="16"/>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12.95" customHeight="1">
      <c r="A7" s="20"/>
      <c r="B7" s="21"/>
      <c r="C7" s="45"/>
      <c r="D7" s="45"/>
      <c r="E7" s="45"/>
      <c r="F7" s="45"/>
      <c r="G7" s="21"/>
      <c r="H7" s="21"/>
      <c r="I7" s="21"/>
      <c r="J7" s="21"/>
      <c r="K7" s="21"/>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ht="21" customHeight="1">
      <c r="A8" s="23" t="s">
        <v>111</v>
      </c>
      <c r="B8" s="21"/>
      <c r="C8" s="45"/>
      <c r="D8" s="45"/>
      <c r="E8" s="45"/>
      <c r="F8" s="45"/>
      <c r="G8" s="21"/>
      <c r="H8" s="23" t="s">
        <v>405</v>
      </c>
      <c r="I8" s="21"/>
      <c r="J8" s="21"/>
      <c r="K8" s="21"/>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ht="18" customHeight="1">
      <c r="A9" s="24"/>
      <c r="B9" s="21"/>
      <c r="C9" s="44">
        <v>21500</v>
      </c>
      <c r="D9" s="44">
        <v>21501</v>
      </c>
      <c r="E9" s="44">
        <v>21502</v>
      </c>
      <c r="F9" s="44">
        <v>21503</v>
      </c>
      <c r="G9" s="21"/>
      <c r="H9" s="23" t="s">
        <v>406</v>
      </c>
      <c r="I9" s="21"/>
      <c r="J9" s="21"/>
      <c r="K9" s="21"/>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ht="12.95" customHeight="1">
      <c r="A10" s="23"/>
      <c r="B10" s="21"/>
      <c r="C10" s="44" t="s">
        <v>425</v>
      </c>
      <c r="D10" s="44" t="s">
        <v>437</v>
      </c>
      <c r="E10" s="44" t="s">
        <v>434</v>
      </c>
      <c r="F10" s="44" t="s">
        <v>434</v>
      </c>
      <c r="G10" s="21"/>
      <c r="H10" s="21"/>
      <c r="I10" s="21"/>
      <c r="J10" s="21"/>
      <c r="K10" s="21"/>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11" ht="18" customHeight="1" thickBot="1">
      <c r="A11" s="25" t="s">
        <v>8</v>
      </c>
      <c r="B11" s="17"/>
      <c r="C11" s="44" t="s">
        <v>0</v>
      </c>
      <c r="D11" s="44" t="s">
        <v>1</v>
      </c>
      <c r="E11" s="44" t="s">
        <v>2</v>
      </c>
      <c r="F11" s="44" t="s">
        <v>3</v>
      </c>
      <c r="G11" s="17"/>
      <c r="H11" s="21"/>
      <c r="I11" s="17"/>
      <c r="K11" s="55"/>
    </row>
    <row r="12" spans="1:11" ht="33" customHeight="1">
      <c r="A12" s="56" t="s">
        <v>12</v>
      </c>
      <c r="B12" s="28">
        <f>K1</f>
        <v>1995</v>
      </c>
      <c r="C12" s="200"/>
      <c r="D12" s="200"/>
      <c r="E12" s="200"/>
      <c r="F12" s="200"/>
      <c r="G12" s="17"/>
      <c r="H12" s="197" t="s">
        <v>405</v>
      </c>
      <c r="I12" s="197"/>
      <c r="J12" s="57"/>
      <c r="K12" s="28">
        <f>K1</f>
        <v>1995</v>
      </c>
    </row>
    <row r="13" spans="1:11" ht="18" customHeight="1">
      <c r="A13" s="58" t="s">
        <v>14</v>
      </c>
      <c r="B13" s="59"/>
      <c r="C13" s="200"/>
      <c r="D13" s="200"/>
      <c r="E13" s="200"/>
      <c r="F13" s="200"/>
      <c r="G13" s="17"/>
      <c r="H13" s="60" t="s">
        <v>15</v>
      </c>
      <c r="I13" s="61"/>
      <c r="J13" s="62"/>
      <c r="K13" s="61"/>
    </row>
    <row r="14" spans="1:11" s="34" customFormat="1" ht="18" customHeight="1">
      <c r="A14" s="33" t="s">
        <v>46</v>
      </c>
      <c r="B14" s="46">
        <f>C14+D14+E14+F14</f>
        <v>39260479.65</v>
      </c>
      <c r="C14" s="45">
        <f>C15+C16+C17+C18</f>
        <v>23301377.54</v>
      </c>
      <c r="D14" s="45">
        <f>D15+D16+D17+D18</f>
        <v>15959102.11</v>
      </c>
      <c r="E14" s="45">
        <f>E15+E16+E17+E18</f>
        <v>0</v>
      </c>
      <c r="F14" s="45">
        <f>F15+F16+F17+F18</f>
        <v>0</v>
      </c>
      <c r="G14" s="33"/>
      <c r="H14" s="33"/>
      <c r="I14" s="17"/>
      <c r="J14" s="64"/>
      <c r="K14" s="17"/>
    </row>
    <row r="15" spans="1:11" s="34" customFormat="1" ht="18" customHeight="1">
      <c r="A15" s="65" t="s">
        <v>426</v>
      </c>
      <c r="B15" s="46">
        <f>C15+D15+E15+F15</f>
        <v>0</v>
      </c>
      <c r="C15" s="45"/>
      <c r="D15" s="45">
        <f>'[2]2111'!$L$7+'[2]2111'!$L$8</f>
        <v>0</v>
      </c>
      <c r="E15" s="45">
        <f>'[3]2111'!$L$7+'[3]2111'!$L$8</f>
        <v>0</v>
      </c>
      <c r="F15" s="45">
        <f>'[4]2111'!$L$7+'[4]2111'!$L$8</f>
        <v>0</v>
      </c>
      <c r="G15" s="33"/>
      <c r="H15" s="33" t="s">
        <v>16</v>
      </c>
      <c r="K15" s="66">
        <f>IF(Balance!J35=0,"--",Balance!B47/Balance!J35)</f>
        <v>0.23858832326870644</v>
      </c>
    </row>
    <row r="16" spans="1:11" s="34" customFormat="1" ht="18" customHeight="1">
      <c r="A16" s="65" t="s">
        <v>427</v>
      </c>
      <c r="B16" s="46">
        <f aca="true" t="shared" si="0" ref="B16:B45">C16+D16+E16+F16</f>
        <v>0</v>
      </c>
      <c r="C16" s="45"/>
      <c r="D16" s="45"/>
      <c r="E16" s="45"/>
      <c r="F16" s="45"/>
      <c r="G16" s="33"/>
      <c r="H16" s="33" t="s">
        <v>17</v>
      </c>
      <c r="K16" s="66">
        <f>(Memoria!C45+Memoria!C58)/Balance!J35</f>
        <v>1.4816722101303375</v>
      </c>
    </row>
    <row r="17" spans="1:11" s="34" customFormat="1" ht="18" customHeight="1">
      <c r="A17" s="65" t="s">
        <v>428</v>
      </c>
      <c r="B17" s="46">
        <f t="shared" si="0"/>
        <v>0</v>
      </c>
      <c r="C17" s="45"/>
      <c r="D17" s="45" t="str">
        <f>'[2]2111'!$L$11</f>
        <v>0,00</v>
      </c>
      <c r="E17" s="45" t="str">
        <f>'[3]2111'!$L$11</f>
        <v>0,00</v>
      </c>
      <c r="F17" s="45" t="str">
        <f>'[4]2111'!$L$11</f>
        <v>0,00</v>
      </c>
      <c r="G17" s="33"/>
      <c r="H17" s="33" t="s">
        <v>18</v>
      </c>
      <c r="K17" s="66">
        <f>IF(Balance!J35=0,"--",Balance!B35/Balance!J35)</f>
        <v>1.6233680774451649</v>
      </c>
    </row>
    <row r="18" spans="1:11" s="34" customFormat="1" ht="18" customHeight="1">
      <c r="A18" s="65" t="s">
        <v>429</v>
      </c>
      <c r="B18" s="46">
        <f t="shared" si="0"/>
        <v>39260479.65</v>
      </c>
      <c r="C18" s="45">
        <f>('[1]2110'!$L$10)+0.02</f>
        <v>23301377.54</v>
      </c>
      <c r="D18" s="45" t="str">
        <f>'[2]2111'!$L$6</f>
        <v>15.959.102,11</v>
      </c>
      <c r="E18" s="45" t="str">
        <f>+'[3]2111'!$L$6</f>
        <v>0,00</v>
      </c>
      <c r="F18" s="45" t="str">
        <f>+'[4]2111'!$L$6</f>
        <v>0,00</v>
      </c>
      <c r="G18" s="33"/>
      <c r="H18" s="33" t="s">
        <v>19</v>
      </c>
      <c r="K18" s="67">
        <f>Balance!B35-Balance!J35</f>
        <v>59134937.66999999</v>
      </c>
    </row>
    <row r="19" spans="1:11" s="34" customFormat="1" ht="18" customHeight="1">
      <c r="A19" s="33" t="s">
        <v>47</v>
      </c>
      <c r="B19" s="46">
        <f t="shared" si="0"/>
        <v>227209667.91</v>
      </c>
      <c r="C19" s="45">
        <f>C20+C21+C22+C23</f>
        <v>120169611.62</v>
      </c>
      <c r="D19" s="45">
        <f>D20+D21+D22+D23</f>
        <v>53297290.85</v>
      </c>
      <c r="E19" s="45">
        <f>E20+E21+E22+E23</f>
        <v>36643106.62</v>
      </c>
      <c r="F19" s="45">
        <f>F20+F21+F22+F23</f>
        <v>17099658.82</v>
      </c>
      <c r="G19" s="33"/>
      <c r="H19" s="33" t="s">
        <v>20</v>
      </c>
      <c r="K19" s="68" t="str">
        <f>INT(Balance!B37/(B31+B48+B59+B60)*365)&amp;"  días"</f>
        <v>154  días</v>
      </c>
    </row>
    <row r="20" spans="1:11" s="34" customFormat="1" ht="18" customHeight="1">
      <c r="A20" s="65" t="s">
        <v>48</v>
      </c>
      <c r="B20" s="46">
        <f t="shared" si="0"/>
        <v>190968565.9</v>
      </c>
      <c r="C20" s="45" t="str">
        <f>('[1]2110'!$L$23)</f>
        <v>83.928.509,61</v>
      </c>
      <c r="D20" s="45" t="str">
        <f>'[2]2111'!$L$10</f>
        <v>53.297.290,85</v>
      </c>
      <c r="E20" s="45" t="str">
        <f>'[3]2111'!$L$10</f>
        <v>36.643.106,62</v>
      </c>
      <c r="F20" s="45" t="str">
        <f>'[4]2111'!$L$10</f>
        <v>17.099.658,82</v>
      </c>
      <c r="G20" s="33"/>
      <c r="H20" s="33" t="s">
        <v>21</v>
      </c>
      <c r="K20" s="68" t="str">
        <f>INT(Balance!J38/-(B46+B53+B61+B62)*365)&amp;"  días"</f>
        <v>80  días</v>
      </c>
    </row>
    <row r="21" spans="1:11" s="34" customFormat="1" ht="18" customHeight="1">
      <c r="A21" s="65" t="s">
        <v>49</v>
      </c>
      <c r="B21" s="46">
        <f t="shared" si="0"/>
        <v>4866569.3</v>
      </c>
      <c r="C21" s="45" t="str">
        <f>('[1]2110'!$L$24)</f>
        <v>4.866.569,30</v>
      </c>
      <c r="D21" s="45" t="str">
        <f>'[2]2111'!$L$9</f>
        <v>0,00</v>
      </c>
      <c r="E21" s="45" t="str">
        <f>'[3]2111'!$L$9</f>
        <v>0,00</v>
      </c>
      <c r="F21" s="45" t="str">
        <f>'[4]2111'!$L$9</f>
        <v>0,00</v>
      </c>
      <c r="G21" s="33"/>
      <c r="H21" s="33" t="s">
        <v>22</v>
      </c>
      <c r="K21" s="68" t="str">
        <f>INT((Balance!J38+Balance!J45)/-(B32+B33+B34+B39+B41)*365)&amp;"  días"</f>
        <v>114  días</v>
      </c>
    </row>
    <row r="22" spans="1:8" s="34" customFormat="1" ht="18" customHeight="1">
      <c r="A22" s="65" t="s">
        <v>50</v>
      </c>
      <c r="B22" s="46">
        <f t="shared" si="0"/>
        <v>0</v>
      </c>
      <c r="C22" s="45" t="str">
        <f>('[1]2110'!$L$25)</f>
        <v>0,00</v>
      </c>
      <c r="D22" s="45"/>
      <c r="E22" s="45"/>
      <c r="F22" s="45"/>
      <c r="G22" s="33"/>
      <c r="H22" s="33"/>
    </row>
    <row r="23" spans="1:11" s="34" customFormat="1" ht="18" customHeight="1">
      <c r="A23" s="65" t="s">
        <v>51</v>
      </c>
      <c r="B23" s="46">
        <f t="shared" si="0"/>
        <v>31374532.71</v>
      </c>
      <c r="C23" s="45" t="str">
        <f>('[1]2110'!$L$26)</f>
        <v>31.374.532,71</v>
      </c>
      <c r="D23" s="45"/>
      <c r="E23" s="45"/>
      <c r="F23" s="45"/>
      <c r="G23" s="33"/>
      <c r="H23" s="60" t="s">
        <v>23</v>
      </c>
      <c r="I23" s="60"/>
      <c r="J23" s="60"/>
      <c r="K23" s="60"/>
    </row>
    <row r="24" spans="1:11" s="34" customFormat="1" ht="18" customHeight="1">
      <c r="A24" s="33" t="s">
        <v>112</v>
      </c>
      <c r="B24" s="46">
        <f t="shared" si="0"/>
        <v>30645376.42</v>
      </c>
      <c r="C24" s="45" t="str">
        <f>'[1]2110'!$L$4</f>
        <v>1.850.263,84</v>
      </c>
      <c r="D24" s="45" t="str">
        <f>'[2]2111'!$L$4</f>
        <v>10.850.010,29</v>
      </c>
      <c r="E24" s="45" t="str">
        <f>'[3]2111'!$L$4</f>
        <v>16.314.410,26</v>
      </c>
      <c r="F24" s="45" t="str">
        <f>'[4]2111'!$L$4</f>
        <v>1.630.692,03</v>
      </c>
      <c r="G24" s="33"/>
      <c r="H24" s="33"/>
      <c r="I24" s="33"/>
      <c r="J24" s="33"/>
      <c r="K24" s="33"/>
    </row>
    <row r="25" spans="1:11" s="34" customFormat="1" ht="18" customHeight="1">
      <c r="A25" s="33" t="s">
        <v>113</v>
      </c>
      <c r="B25" s="46">
        <f t="shared" si="0"/>
        <v>0</v>
      </c>
      <c r="C25" s="45">
        <f>'[1]2110'!$L$8-'[1]2110'!$D$4</f>
        <v>0</v>
      </c>
      <c r="D25" s="45"/>
      <c r="E25" s="45"/>
      <c r="F25" s="45"/>
      <c r="G25" s="33"/>
      <c r="H25" s="33" t="s">
        <v>24</v>
      </c>
      <c r="K25" s="67">
        <f>(Balance!J26+Balance!J35)/K5</f>
        <v>27.75371088987986</v>
      </c>
    </row>
    <row r="26" spans="1:11" s="34" customFormat="1" ht="18" customHeight="1">
      <c r="A26" s="33" t="s">
        <v>114</v>
      </c>
      <c r="B26" s="46">
        <f t="shared" si="0"/>
        <v>0</v>
      </c>
      <c r="C26" s="45" t="str">
        <f>'[1]2110'!$L$12</f>
        <v>0,00</v>
      </c>
      <c r="D26" s="45"/>
      <c r="E26" s="45"/>
      <c r="F26" s="45"/>
      <c r="G26" s="33"/>
      <c r="H26" s="33" t="s">
        <v>25</v>
      </c>
      <c r="K26" s="66">
        <f>(Balance!J26+Balance!J35)/Balance!J49</f>
        <v>0.18739139391859816</v>
      </c>
    </row>
    <row r="27" spans="1:11" s="34" customFormat="1" ht="18" customHeight="1">
      <c r="A27" s="33" t="s">
        <v>115</v>
      </c>
      <c r="B27" s="46">
        <f t="shared" si="0"/>
        <v>2631619.72</v>
      </c>
      <c r="C27" s="45" t="str">
        <f>'[1]2110'!$L$13</f>
        <v>209.771,25</v>
      </c>
      <c r="D27" s="45">
        <f>+'[2]2111'!$L$12+'[2]2111'!$L$13</f>
        <v>2252046.37</v>
      </c>
      <c r="E27" s="45">
        <f>+'[3]2111'!$L$12+'[3]2111'!$L$13</f>
        <v>157413.42</v>
      </c>
      <c r="F27" s="45">
        <f>+'[4]2111'!$L$12+'[4]2111'!$L$13</f>
        <v>12388.68</v>
      </c>
      <c r="G27" s="69"/>
      <c r="H27" s="33" t="s">
        <v>26</v>
      </c>
      <c r="K27" s="66">
        <f>IF(Balance!J26=0,"  --",Balance!J35/Balance!J26)</f>
        <v>6.199420045917075</v>
      </c>
    </row>
    <row r="28" spans="1:11" s="34" customFormat="1" ht="18" customHeight="1">
      <c r="A28" s="65" t="s">
        <v>52</v>
      </c>
      <c r="B28" s="46">
        <f t="shared" si="0"/>
        <v>2631619.72</v>
      </c>
      <c r="C28" s="45" t="str">
        <f>'[1]2110'!$L$14</f>
        <v>209.771,25</v>
      </c>
      <c r="D28" s="45" t="str">
        <f>+'[2]2111'!$L$12</f>
        <v>2.252.046,37</v>
      </c>
      <c r="E28" s="45" t="str">
        <f>+'[3]2111'!$L$12</f>
        <v>157.413,42</v>
      </c>
      <c r="F28" s="45" t="str">
        <f>+'[4]2111'!$L$12</f>
        <v>12.388,68</v>
      </c>
      <c r="G28" s="69"/>
      <c r="H28" s="33" t="s">
        <v>407</v>
      </c>
      <c r="K28" s="66">
        <f>Balance!B13/Balance!J13</f>
        <v>1.1033284498593816</v>
      </c>
    </row>
    <row r="29" spans="1:11" s="34" customFormat="1" ht="18" customHeight="1">
      <c r="A29" s="65" t="s">
        <v>53</v>
      </c>
      <c r="B29" s="46">
        <f t="shared" si="0"/>
        <v>0</v>
      </c>
      <c r="C29" s="45" t="str">
        <f>'[1]2110'!$L$15</f>
        <v>0,00</v>
      </c>
      <c r="D29" s="45" t="str">
        <f>'[2]2111'!$L$13</f>
        <v>0,00</v>
      </c>
      <c r="E29" s="45" t="str">
        <f>'[3]2111'!$L$13</f>
        <v>0,00</v>
      </c>
      <c r="F29" s="45" t="str">
        <f>'[4]2111'!$L$13</f>
        <v>0,00</v>
      </c>
      <c r="G29" s="69"/>
      <c r="H29" s="34" t="s">
        <v>408</v>
      </c>
      <c r="K29" s="66">
        <f>Balance!B49/(Balance!J35+Balance!J26)</f>
        <v>5.33642436340697</v>
      </c>
    </row>
    <row r="30" spans="1:11" s="34" customFormat="1" ht="18" customHeight="1">
      <c r="A30" s="33" t="s">
        <v>116</v>
      </c>
      <c r="B30" s="46">
        <f t="shared" si="0"/>
        <v>295090.93</v>
      </c>
      <c r="C30" s="45" t="str">
        <f>'[1]2110'!$L$11</f>
        <v>295.090,93</v>
      </c>
      <c r="D30" s="45"/>
      <c r="E30" s="45"/>
      <c r="F30" s="45"/>
      <c r="G30" s="69"/>
      <c r="H30" s="33" t="s">
        <v>409</v>
      </c>
      <c r="K30" s="66">
        <f>IF(Balance!J28=0,"   --",Balance!B20/Balance!J28)</f>
        <v>28.194686023179038</v>
      </c>
    </row>
    <row r="31" spans="1:11" s="34" customFormat="1" ht="18" customHeight="1">
      <c r="A31" s="70" t="s">
        <v>117</v>
      </c>
      <c r="B31" s="202">
        <f>C31+D31+E31+F31</f>
        <v>300042234.63</v>
      </c>
      <c r="C31" s="45">
        <f>C14+C19+C24+C25+C26+C27+C30</f>
        <v>145826115.18</v>
      </c>
      <c r="D31" s="45">
        <f>D14+D19+D24+D25+D26+D27+D30</f>
        <v>82358449.62</v>
      </c>
      <c r="E31" s="45">
        <f aca="true" t="shared" si="1" ref="E31:F31">E14+E19+E24+E25+E26+E27+E30</f>
        <v>53114930.3</v>
      </c>
      <c r="F31" s="45">
        <f t="shared" si="1"/>
        <v>18742739.53</v>
      </c>
      <c r="G31" s="69"/>
      <c r="H31" s="34" t="s">
        <v>410</v>
      </c>
      <c r="K31" s="66">
        <f>(B69-B40-B45-B53+B48-B62)/Balance!B49</f>
        <v>0.0788965671422772</v>
      </c>
    </row>
    <row r="32" spans="1:11" s="34" customFormat="1" ht="18" customHeight="1">
      <c r="A32" s="33" t="s">
        <v>118</v>
      </c>
      <c r="B32" s="46">
        <f t="shared" si="0"/>
        <v>-209454491.47</v>
      </c>
      <c r="C32" s="45">
        <f>-'[1]2110'!$D$10</f>
        <v>-92046560.41</v>
      </c>
      <c r="D32" s="45">
        <f>-'[2]2111'!$D$5</f>
        <v>-61936898.57</v>
      </c>
      <c r="E32" s="45">
        <f>-'[3]2111'!$D$5</f>
        <v>-39879918.56</v>
      </c>
      <c r="F32" s="45">
        <f>-'[4]2111'!$D$5</f>
        <v>-15591113.93</v>
      </c>
      <c r="G32" s="69"/>
      <c r="H32" s="34" t="s">
        <v>411</v>
      </c>
      <c r="K32" s="66">
        <f>(Balance!B13+Balance!B32)/(Balance!J13+Balance!J24+Balance!J25+Balance!J26)</f>
        <v>0.8800573655596046</v>
      </c>
    </row>
    <row r="33" spans="1:11" s="34" customFormat="1" ht="18" customHeight="1">
      <c r="A33" s="33" t="s">
        <v>119</v>
      </c>
      <c r="B33" s="46">
        <f t="shared" si="0"/>
        <v>-222.37</v>
      </c>
      <c r="C33" s="45">
        <f>-'[1]2110'!$D$13</f>
        <v>-222.37</v>
      </c>
      <c r="D33" s="45">
        <f>-'[2]2111'!$D$9</f>
        <v>0</v>
      </c>
      <c r="E33" s="45">
        <f>-'[3]2111'!$D$9</f>
        <v>0</v>
      </c>
      <c r="F33" s="45">
        <f>-'[4]2111'!$D$9</f>
        <v>0</v>
      </c>
      <c r="G33" s="69"/>
      <c r="H33" s="34" t="s">
        <v>412</v>
      </c>
      <c r="K33" s="66">
        <f>Balance!J13/(Balance!J24+Balance!J25+Balance!J26+Balance!J35)</f>
        <v>2.020331976629747</v>
      </c>
    </row>
    <row r="34" spans="1:11" s="34" customFormat="1" ht="18" customHeight="1">
      <c r="A34" s="33" t="s">
        <v>120</v>
      </c>
      <c r="B34" s="46">
        <f t="shared" si="0"/>
        <v>-2350121.8000000003</v>
      </c>
      <c r="C34" s="45">
        <f>C35+C36+C37+C38</f>
        <v>-1090302.07</v>
      </c>
      <c r="D34" s="45">
        <f>D35+D36+D37+D38</f>
        <v>-776890.29</v>
      </c>
      <c r="E34" s="45">
        <f>E35+E36+E37+E38</f>
        <v>0</v>
      </c>
      <c r="F34" s="45">
        <f>F35+F36+F37+F38</f>
        <v>-482929.44</v>
      </c>
      <c r="G34" s="69"/>
      <c r="H34" s="34" t="s">
        <v>413</v>
      </c>
      <c r="K34" s="66">
        <f>IF((Balance!J26)=0,"   --",(Balance!J35)/(Balance!J26+Balance!J35))</f>
        <v>0.8610999228240449</v>
      </c>
    </row>
    <row r="35" spans="1:7" s="34" customFormat="1" ht="18" customHeight="1">
      <c r="A35" s="65" t="s">
        <v>48</v>
      </c>
      <c r="B35" s="46">
        <f t="shared" si="0"/>
        <v>-2150219.16</v>
      </c>
      <c r="C35" s="45">
        <f>-('[1]2110'!$D$28)</f>
        <v>-890399.43</v>
      </c>
      <c r="D35" s="45">
        <f>-'[2]2111'!$D$11</f>
        <v>-776890.29</v>
      </c>
      <c r="E35" s="45">
        <f>-'[3]2111'!$D$11</f>
        <v>0</v>
      </c>
      <c r="F35" s="45">
        <f>-'[4]2111'!$D$11</f>
        <v>-482929.44</v>
      </c>
      <c r="G35" s="69"/>
    </row>
    <row r="36" spans="1:7" s="34" customFormat="1" ht="18" customHeight="1">
      <c r="A36" s="65" t="s">
        <v>49</v>
      </c>
      <c r="B36" s="46">
        <f t="shared" si="0"/>
        <v>0</v>
      </c>
      <c r="C36" s="45">
        <f>-('[1]2110'!$D$29)</f>
        <v>0</v>
      </c>
      <c r="D36" s="45">
        <f>-'[2]2111'!$D$10</f>
        <v>0</v>
      </c>
      <c r="E36" s="45">
        <f>-'[3]2111'!$D$10</f>
        <v>0</v>
      </c>
      <c r="F36" s="45">
        <f>-'[4]2111'!$D$10</f>
        <v>0</v>
      </c>
      <c r="G36" s="69"/>
    </row>
    <row r="37" spans="1:11" s="34" customFormat="1" ht="18" customHeight="1">
      <c r="A37" s="65" t="s">
        <v>50</v>
      </c>
      <c r="B37" s="46">
        <f t="shared" si="0"/>
        <v>-199902.64</v>
      </c>
      <c r="C37" s="45">
        <f>-('[1]2110'!$D$30)</f>
        <v>-199902.64</v>
      </c>
      <c r="D37" s="45">
        <f>-'[2]2111'!$D$12</f>
        <v>0</v>
      </c>
      <c r="E37" s="45">
        <f>-'[3]2111'!$D$12</f>
        <v>0</v>
      </c>
      <c r="F37" s="45">
        <f>-'[4]2111'!$D$12</f>
        <v>0</v>
      </c>
      <c r="G37" s="69"/>
      <c r="H37" s="60" t="s">
        <v>423</v>
      </c>
      <c r="I37" s="60"/>
      <c r="J37" s="60"/>
      <c r="K37" s="60"/>
    </row>
    <row r="38" spans="1:11" s="34" customFormat="1" ht="18" customHeight="1">
      <c r="A38" s="65" t="s">
        <v>51</v>
      </c>
      <c r="B38" s="46">
        <f t="shared" si="0"/>
        <v>0</v>
      </c>
      <c r="C38" s="45">
        <f>-('[1]2110'!$D$31)</f>
        <v>0</v>
      </c>
      <c r="D38" s="45"/>
      <c r="E38" s="45"/>
      <c r="F38" s="45"/>
      <c r="G38" s="69"/>
      <c r="H38" s="33"/>
      <c r="I38" s="33"/>
      <c r="J38" s="33"/>
      <c r="K38" s="33"/>
    </row>
    <row r="39" spans="1:11" s="34" customFormat="1" ht="18" customHeight="1">
      <c r="A39" s="33" t="s">
        <v>121</v>
      </c>
      <c r="B39" s="46">
        <f t="shared" si="0"/>
        <v>-743026.75</v>
      </c>
      <c r="C39" s="45">
        <f>-'[1]2110'!$D$5</f>
        <v>0</v>
      </c>
      <c r="D39" s="45">
        <f>-'[2]2111'!$D$4</f>
        <v>118711.89</v>
      </c>
      <c r="E39" s="45">
        <f>-'[3]2111'!$D$4</f>
        <v>-861738.64</v>
      </c>
      <c r="F39" s="45">
        <f>-'[4]2111'!$D$4</f>
        <v>0</v>
      </c>
      <c r="G39" s="33"/>
      <c r="H39" s="33" t="s">
        <v>27</v>
      </c>
      <c r="K39" s="66">
        <f>IF(Balance!J13&lt;0,B69/ABS(Balance!J13),B69/Balance!J13)</f>
        <v>0.017781126792186627</v>
      </c>
    </row>
    <row r="40" spans="1:11" s="34" customFormat="1" ht="18" customHeight="1">
      <c r="A40" s="33" t="s">
        <v>122</v>
      </c>
      <c r="B40" s="46">
        <f t="shared" si="0"/>
        <v>0</v>
      </c>
      <c r="C40" s="45">
        <f>-'[1]2110'!$D$15</f>
        <v>0</v>
      </c>
      <c r="D40" s="45"/>
      <c r="E40" s="45"/>
      <c r="F40" s="45"/>
      <c r="G40" s="33"/>
      <c r="H40" s="34" t="s">
        <v>414</v>
      </c>
      <c r="K40" s="66">
        <f>B14/B31</f>
        <v>0.13084984418415108</v>
      </c>
    </row>
    <row r="41" spans="1:11" s="34" customFormat="1" ht="18" customHeight="1">
      <c r="A41" s="33" t="s">
        <v>368</v>
      </c>
      <c r="B41" s="46">
        <f t="shared" si="0"/>
        <v>-53886229.910000004</v>
      </c>
      <c r="C41" s="45">
        <f>-'[1]2110'!$D18</f>
        <v>-24607154.45</v>
      </c>
      <c r="D41" s="45">
        <f>-'[2]2111'!$D$8-'[2]2111'!$D$7</f>
        <v>-14376518.83</v>
      </c>
      <c r="E41" s="45">
        <f>-'[3]2111'!$D$8-'[3]2111'!$D$7</f>
        <v>-11884667.32</v>
      </c>
      <c r="F41" s="45">
        <f>-'[4]2111'!$D$8-'[4]2111'!$D$7</f>
        <v>-3017889.31</v>
      </c>
      <c r="G41" s="33"/>
      <c r="H41" s="34" t="s">
        <v>415</v>
      </c>
      <c r="K41" s="66">
        <f>B19/B31</f>
        <v>0.7572589511946071</v>
      </c>
    </row>
    <row r="42" spans="1:11" s="34" customFormat="1" ht="18" customHeight="1">
      <c r="A42" s="65" t="s">
        <v>123</v>
      </c>
      <c r="B42" s="46">
        <f t="shared" si="0"/>
        <v>-53511868.02</v>
      </c>
      <c r="C42" s="45">
        <f>-'[1]2110'!$D19</f>
        <v>-24462394.67</v>
      </c>
      <c r="D42" s="45">
        <f>-'[2]2111'!$D$8</f>
        <v>-14230527.38</v>
      </c>
      <c r="E42" s="45">
        <f>-'[3]2111'!$D$8</f>
        <v>-11804680.59</v>
      </c>
      <c r="F42" s="45">
        <f>-'[4]2111'!$D$8</f>
        <v>-3014265.38</v>
      </c>
      <c r="G42" s="33"/>
      <c r="H42" s="33" t="s">
        <v>416</v>
      </c>
      <c r="K42" s="66">
        <f>B24/B31</f>
        <v>0.10213687568948633</v>
      </c>
    </row>
    <row r="43" spans="1:11" s="34" customFormat="1" ht="18" customHeight="1">
      <c r="A43" s="65" t="s">
        <v>124</v>
      </c>
      <c r="B43" s="46">
        <f t="shared" si="0"/>
        <v>-374361.88999999996</v>
      </c>
      <c r="C43" s="45">
        <f>-'[1]2110'!$D20</f>
        <v>-144759.78</v>
      </c>
      <c r="D43" s="45">
        <f>-'[2]2111'!$D$7</f>
        <v>-145991.45</v>
      </c>
      <c r="E43" s="45">
        <f>-'[3]2111'!$D$7</f>
        <v>-79986.73</v>
      </c>
      <c r="F43" s="45">
        <f>-'[4]2111'!$D$7</f>
        <v>-3623.93</v>
      </c>
      <c r="G43" s="33"/>
      <c r="H43" s="33" t="s">
        <v>417</v>
      </c>
      <c r="K43" s="66">
        <f>(B25+B26+B27+B30)/B31</f>
        <v>0.009754328931755565</v>
      </c>
    </row>
    <row r="44" spans="1:11" s="34" customFormat="1" ht="18" customHeight="1">
      <c r="A44" s="65" t="s">
        <v>125</v>
      </c>
      <c r="B44" s="46">
        <f t="shared" si="0"/>
        <v>0</v>
      </c>
      <c r="C44" s="45">
        <f>-'[1]2110'!$D21</f>
        <v>0</v>
      </c>
      <c r="D44" s="45"/>
      <c r="E44" s="45"/>
      <c r="F44" s="45"/>
      <c r="G44" s="33"/>
      <c r="H44" s="34" t="s">
        <v>418</v>
      </c>
      <c r="K44" s="66">
        <f>B32/B46</f>
        <v>0.7008831489228267</v>
      </c>
    </row>
    <row r="45" spans="1:11" s="34" customFormat="1" ht="18" customHeight="1">
      <c r="A45" s="33" t="s">
        <v>369</v>
      </c>
      <c r="B45" s="46">
        <f t="shared" si="0"/>
        <v>-32409576.279999997</v>
      </c>
      <c r="C45" s="45">
        <f>-'[1]2110'!$D$14</f>
        <v>-10015782.58</v>
      </c>
      <c r="D45" s="45">
        <f>-'[2]2111'!$D$13</f>
        <v>-7837143.35</v>
      </c>
      <c r="E45" s="45">
        <f>-'[3]2111'!$D$13</f>
        <v>-14461227.61</v>
      </c>
      <c r="F45" s="45">
        <f>-'[4]2111'!$D$13</f>
        <v>-95422.74</v>
      </c>
      <c r="G45" s="33"/>
      <c r="H45" s="34" t="s">
        <v>419</v>
      </c>
      <c r="K45" s="66">
        <f>B34/B46</f>
        <v>0.007864050830211503</v>
      </c>
    </row>
    <row r="46" spans="1:11" s="34" customFormat="1" ht="18" customHeight="1">
      <c r="A46" s="70" t="s">
        <v>370</v>
      </c>
      <c r="B46" s="202">
        <f>C46+D46+E46+F46</f>
        <v>-298843668.58</v>
      </c>
      <c r="C46" s="45">
        <f>C32+C33+C34+C39+C40+C41+C45</f>
        <v>-127760021.88</v>
      </c>
      <c r="D46" s="45">
        <f>D32+D33+D34+D39+D40+D41+D45</f>
        <v>-84808739.14999999</v>
      </c>
      <c r="E46" s="45">
        <f>E32+E33+E34+E39+E40+E41+E45</f>
        <v>-67087552.13</v>
      </c>
      <c r="F46" s="45">
        <f>F32+F33+F34+F39+F40+F41+F45</f>
        <v>-19187355.419999998</v>
      </c>
      <c r="G46" s="33"/>
      <c r="H46" s="34" t="s">
        <v>420</v>
      </c>
      <c r="K46" s="66">
        <f>B41/B46</f>
        <v>0.1803157823823018</v>
      </c>
    </row>
    <row r="47" spans="1:11" s="34" customFormat="1" ht="18" customHeight="1">
      <c r="A47" s="73" t="s">
        <v>126</v>
      </c>
      <c r="B47" s="205">
        <f>C47+D47+E47+F47</f>
        <v>1198566.050000023</v>
      </c>
      <c r="C47" s="45">
        <f>C31+C46</f>
        <v>18066093.300000012</v>
      </c>
      <c r="D47" s="45">
        <f>D31+D46</f>
        <v>-2450289.5299999863</v>
      </c>
      <c r="E47" s="45">
        <f>E31+E46</f>
        <v>-13972621.830000006</v>
      </c>
      <c r="F47" s="45">
        <f>F31+F46</f>
        <v>-444615.88999999687</v>
      </c>
      <c r="G47" s="33"/>
      <c r="H47" s="34" t="s">
        <v>421</v>
      </c>
      <c r="K47" s="66">
        <f>IF(B39&lt;0,B39/B46,"No aplica")</f>
        <v>0.002486339274077988</v>
      </c>
    </row>
    <row r="48" spans="1:11" s="34" customFormat="1" ht="18" customHeight="1" thickBot="1">
      <c r="A48" s="33" t="s">
        <v>371</v>
      </c>
      <c r="B48" s="46">
        <f aca="true" t="shared" si="2" ref="B48:B63">C48+D48+E48+F48</f>
        <v>6165222.84</v>
      </c>
      <c r="C48" s="45" t="str">
        <f>'[1]2110'!$L27</f>
        <v>4.559.127,57</v>
      </c>
      <c r="D48" s="45">
        <f>'[2]2111'!$L$19+'[2]2111'!$L$18+'[2]2111'!$L$20+'[2]2111'!$L$26</f>
        <v>1522346.8</v>
      </c>
      <c r="E48" s="45">
        <f>'[3]2111'!$L$19+'[3]2111'!$L$18+'[3]2111'!$L$20+'[3]2111'!$L$26</f>
        <v>29618.77</v>
      </c>
      <c r="F48" s="45">
        <f>'[4]2111'!$L$19+'[4]2111'!$L$18+'[4]2111'!$L$20+'[4]2111'!$L$26</f>
        <v>54129.7</v>
      </c>
      <c r="G48" s="33"/>
      <c r="H48" s="71" t="s">
        <v>422</v>
      </c>
      <c r="I48" s="71"/>
      <c r="J48" s="71"/>
      <c r="K48" s="72">
        <f>(B33+B40+B45)/B46</f>
        <v>0.10845067859058204</v>
      </c>
    </row>
    <row r="49" spans="1:8" s="34" customFormat="1" ht="18" customHeight="1">
      <c r="A49" s="65" t="s">
        <v>127</v>
      </c>
      <c r="B49" s="46">
        <f t="shared" si="2"/>
        <v>1470406.2</v>
      </c>
      <c r="C49" s="45" t="str">
        <f>'[1]2110'!$L28</f>
        <v>0,00</v>
      </c>
      <c r="D49" s="45" t="str">
        <f>'[2]2111'!$L$19</f>
        <v>1.470.406,20</v>
      </c>
      <c r="E49" s="45" t="str">
        <f>'[3]2111'!$L$19</f>
        <v>0,00</v>
      </c>
      <c r="F49" s="45" t="str">
        <f>'[4]2111'!$L$19</f>
        <v>0,00</v>
      </c>
      <c r="G49" s="33"/>
      <c r="H49" s="33"/>
    </row>
    <row r="50" spans="1:8" s="34" customFormat="1" ht="18" customHeight="1">
      <c r="A50" s="65" t="s">
        <v>128</v>
      </c>
      <c r="B50" s="46">
        <f t="shared" si="2"/>
        <v>0</v>
      </c>
      <c r="C50" s="45" t="str">
        <f>'[1]2110'!$L29</f>
        <v>0,00</v>
      </c>
      <c r="D50" s="45" t="str">
        <f>'[2]2111'!$L$18</f>
        <v>0,00</v>
      </c>
      <c r="E50" s="45" t="str">
        <f>'[3]2111'!$L$18</f>
        <v>0,00</v>
      </c>
      <c r="F50" s="45" t="str">
        <f>'[4]2111'!$L$18</f>
        <v>0,00</v>
      </c>
      <c r="G50" s="33"/>
      <c r="H50" s="34" t="s">
        <v>28</v>
      </c>
    </row>
    <row r="51" spans="1:8" s="34" customFormat="1" ht="18" customHeight="1">
      <c r="A51" s="65" t="s">
        <v>129</v>
      </c>
      <c r="B51" s="46">
        <f t="shared" si="2"/>
        <v>65382.62</v>
      </c>
      <c r="C51" s="45" t="str">
        <f>'[1]2110'!$L30</f>
        <v>11.882,01</v>
      </c>
      <c r="D51" s="45" t="str">
        <f>'[2]2111'!$L$20</f>
        <v>0,00</v>
      </c>
      <c r="E51" s="45" t="str">
        <f>'[3]2111'!$L$20</f>
        <v>0,00</v>
      </c>
      <c r="F51" s="45" t="str">
        <f>'[4]2111'!$L$20</f>
        <v>53.500,61</v>
      </c>
      <c r="G51" s="33"/>
      <c r="H51" s="34" t="s">
        <v>29</v>
      </c>
    </row>
    <row r="52" spans="1:8" s="34" customFormat="1" ht="18" customHeight="1">
      <c r="A52" s="65" t="s">
        <v>130</v>
      </c>
      <c r="B52" s="46">
        <f t="shared" si="2"/>
        <v>4629434.019999999</v>
      </c>
      <c r="C52" s="45" t="str">
        <f>'[1]2110'!$L31</f>
        <v>4.547.245,56</v>
      </c>
      <c r="D52" s="45" t="str">
        <f>'[2]2111'!$L$26</f>
        <v>51.940,60</v>
      </c>
      <c r="E52" s="45" t="str">
        <f>'[3]2111'!$L$26</f>
        <v>29.618,77</v>
      </c>
      <c r="F52" s="45" t="str">
        <f>'[4]2111'!$L$26</f>
        <v>629,09</v>
      </c>
      <c r="G52" s="33"/>
      <c r="H52" s="33"/>
    </row>
    <row r="53" spans="1:8" s="34" customFormat="1" ht="18" customHeight="1">
      <c r="A53" s="33" t="s">
        <v>372</v>
      </c>
      <c r="B53" s="46">
        <f t="shared" si="2"/>
        <v>-815378.7399999999</v>
      </c>
      <c r="C53" s="45">
        <f>-'[1]2110'!$D32</f>
        <v>-84430.18</v>
      </c>
      <c r="D53" s="45">
        <f>-'[2]2111'!$D$17-'[2]2111'!$D$26</f>
        <v>-624143.25</v>
      </c>
      <c r="E53" s="45">
        <f>-'[3]2111'!$D$17-'[3]2111'!$D$26</f>
        <v>-633.96</v>
      </c>
      <c r="F53" s="45">
        <f>-'[4]2111'!$D$17-'[4]2111'!$D$26</f>
        <v>-106171.35</v>
      </c>
      <c r="G53" s="33"/>
      <c r="H53" s="33"/>
    </row>
    <row r="54" spans="1:8" s="34" customFormat="1" ht="18" customHeight="1">
      <c r="A54" s="65" t="s">
        <v>131</v>
      </c>
      <c r="B54" s="46">
        <f t="shared" si="2"/>
        <v>-89993.18</v>
      </c>
      <c r="C54" s="45">
        <f>-'[1]2110'!$D33</f>
        <v>-73539.84</v>
      </c>
      <c r="D54" s="45">
        <f>-'[2]2111'!$D$19</f>
        <v>-16453.34</v>
      </c>
      <c r="E54" s="45">
        <f>-'[3]2111'!$D$19</f>
        <v>0</v>
      </c>
      <c r="F54" s="45">
        <f>-'[4]2111'!$D$19</f>
        <v>0</v>
      </c>
      <c r="G54" s="33"/>
      <c r="H54" s="33"/>
    </row>
    <row r="55" spans="1:8" s="34" customFormat="1" ht="18" customHeight="1">
      <c r="A55" s="65" t="s">
        <v>132</v>
      </c>
      <c r="B55" s="46">
        <f t="shared" si="2"/>
        <v>0</v>
      </c>
      <c r="C55" s="45">
        <f>-'[1]2110'!$D34</f>
        <v>0</v>
      </c>
      <c r="D55" s="45">
        <f>-'[2]2111'!$D$18</f>
        <v>0</v>
      </c>
      <c r="E55" s="45">
        <f>-'[3]2111'!$D$18</f>
        <v>0</v>
      </c>
      <c r="F55" s="45">
        <f>-'[4]2111'!$D$18</f>
        <v>0</v>
      </c>
      <c r="G55" s="33"/>
      <c r="H55" s="33"/>
    </row>
    <row r="56" spans="1:8" s="34" customFormat="1" ht="18" customHeight="1">
      <c r="A56" s="65" t="s">
        <v>133</v>
      </c>
      <c r="B56" s="46">
        <f t="shared" si="2"/>
        <v>-347788.29</v>
      </c>
      <c r="C56" s="45">
        <f>-'[1]2110'!$D35</f>
        <v>0</v>
      </c>
      <c r="D56" s="45">
        <f>-'[2]2111'!$D$20</f>
        <v>-347788.29</v>
      </c>
      <c r="E56" s="45">
        <f>-'[3]2111'!$D$20</f>
        <v>0</v>
      </c>
      <c r="F56" s="45">
        <f>-'[4]2111'!$D$20</f>
        <v>0</v>
      </c>
      <c r="G56" s="33"/>
      <c r="H56" s="33"/>
    </row>
    <row r="57" spans="1:8" s="34" customFormat="1" ht="18" customHeight="1">
      <c r="A57" s="65" t="s">
        <v>134</v>
      </c>
      <c r="B57" s="46">
        <f t="shared" si="2"/>
        <v>-377597.26</v>
      </c>
      <c r="C57" s="45">
        <f>-'[1]2110'!$D36</f>
        <v>-10890.34</v>
      </c>
      <c r="D57" s="45">
        <f>-'[2]2111'!$D$26</f>
        <v>-259901.61</v>
      </c>
      <c r="E57" s="45">
        <f>-'[3]2111'!$D$26</f>
        <v>-633.96</v>
      </c>
      <c r="F57" s="45">
        <f>-'[4]2111'!$D$26</f>
        <v>-106171.35</v>
      </c>
      <c r="G57" s="33"/>
      <c r="H57" s="33"/>
    </row>
    <row r="58" spans="1:7" s="34" customFormat="1" ht="18" customHeight="1">
      <c r="A58" s="73" t="s">
        <v>373</v>
      </c>
      <c r="B58" s="205">
        <f>C58+D58+E58+F58</f>
        <v>6548410.150000023</v>
      </c>
      <c r="C58" s="45">
        <f>C47+C48+C53</f>
        <v>22540790.690000013</v>
      </c>
      <c r="D58" s="45">
        <f>D47+D48+D53</f>
        <v>-1552085.9799999862</v>
      </c>
      <c r="E58" s="45">
        <f>E47+E48+E53</f>
        <v>-13943637.020000007</v>
      </c>
      <c r="F58" s="45">
        <f>F47+F48+F53</f>
        <v>-496657.5399999969</v>
      </c>
      <c r="G58" s="33"/>
    </row>
    <row r="59" spans="1:7" s="34" customFormat="1" ht="18" customHeight="1">
      <c r="A59" s="33" t="s">
        <v>374</v>
      </c>
      <c r="B59" s="46">
        <f t="shared" si="2"/>
        <v>-13522.77</v>
      </c>
      <c r="C59" s="45">
        <f>'[1]2110'!$L$16+'[1]2110'!$L$17</f>
        <v>0</v>
      </c>
      <c r="D59" s="45">
        <f>+'[2]2111'!$D$23-'[2]2111'!$L$23</f>
        <v>-13522.77</v>
      </c>
      <c r="E59" s="45">
        <f>+'[3]2111'!$D$23-'[3]2111'!$L$23</f>
        <v>0</v>
      </c>
      <c r="F59" s="45">
        <f>+'[4]2111'!$D$23-'[4]2111'!$L$23</f>
        <v>0</v>
      </c>
      <c r="G59" s="33"/>
    </row>
    <row r="60" spans="1:7" s="34" customFormat="1" ht="18" customHeight="1">
      <c r="A60" s="33" t="s">
        <v>375</v>
      </c>
      <c r="B60" s="46">
        <f t="shared" si="2"/>
        <v>2675889.78</v>
      </c>
      <c r="C60" s="45" t="str">
        <f>'[1]2110'!$L$18</f>
        <v>956.114,10</v>
      </c>
      <c r="D60" s="45" t="str">
        <f>'[2]2111'!$L$5</f>
        <v>1.204.634,39</v>
      </c>
      <c r="E60" s="45" t="str">
        <f>'[3]2111'!$L$5</f>
        <v>389.751,87</v>
      </c>
      <c r="F60" s="45" t="str">
        <f>'[4]2111'!$L$5</f>
        <v>125.389,42</v>
      </c>
      <c r="G60" s="33"/>
    </row>
    <row r="61" spans="1:7" s="34" customFormat="1" ht="18" customHeight="1">
      <c r="A61" s="33" t="s">
        <v>376</v>
      </c>
      <c r="B61" s="46">
        <f t="shared" si="2"/>
        <v>-2218417.98</v>
      </c>
      <c r="C61" s="45">
        <f>-'[1]2110'!$D$22</f>
        <v>-378908.08</v>
      </c>
      <c r="D61" s="45">
        <f>-'[2]2111'!$D$6</f>
        <v>-622242.46</v>
      </c>
      <c r="E61" s="45">
        <f>-'[3]2111'!$D$6</f>
        <v>-1194594.41</v>
      </c>
      <c r="F61" s="45">
        <f>-'[4]2111'!$D$6</f>
        <v>-22673.03</v>
      </c>
      <c r="G61" s="33"/>
    </row>
    <row r="62" spans="1:7" s="34" customFormat="1" ht="18" customHeight="1">
      <c r="A62" s="33" t="s">
        <v>377</v>
      </c>
      <c r="B62" s="46">
        <f t="shared" si="2"/>
        <v>0</v>
      </c>
      <c r="C62" s="45">
        <f>-'[1]2110'!$D$25</f>
        <v>0</v>
      </c>
      <c r="D62" s="45"/>
      <c r="E62" s="45"/>
      <c r="F62" s="45"/>
      <c r="G62" s="33"/>
    </row>
    <row r="63" spans="1:7" s="34" customFormat="1" ht="18" customHeight="1">
      <c r="A63" s="33" t="s">
        <v>378</v>
      </c>
      <c r="B63" s="46">
        <f t="shared" si="2"/>
        <v>0</v>
      </c>
      <c r="C63" s="45">
        <f>'[1]2110'!$L$21-'[1]2110'!$D$26</f>
        <v>0</v>
      </c>
      <c r="D63" s="45"/>
      <c r="E63" s="45"/>
      <c r="F63" s="45"/>
      <c r="G63" s="33"/>
    </row>
    <row r="64" spans="1:7" s="34" customFormat="1" ht="18" customHeight="1">
      <c r="A64" s="73" t="s">
        <v>379</v>
      </c>
      <c r="B64" s="205">
        <f>C64+D64+E64+F64</f>
        <v>443949.03</v>
      </c>
      <c r="C64" s="45">
        <f>C59+C60+C61+C62+C63</f>
        <v>577206.02</v>
      </c>
      <c r="D64" s="45">
        <f>D59+D60+D61+D62+D63</f>
        <v>568869.1599999999</v>
      </c>
      <c r="E64" s="45">
        <f>E59+E60+E61+E62+E63</f>
        <v>-804842.5399999999</v>
      </c>
      <c r="F64" s="45">
        <f>F59+F60+F61+F62+F63</f>
        <v>102716.39</v>
      </c>
      <c r="G64" s="33"/>
    </row>
    <row r="65" spans="1:7" s="34" customFormat="1" ht="18" customHeight="1">
      <c r="A65" s="73" t="s">
        <v>135</v>
      </c>
      <c r="B65" s="205">
        <f>C65+D65+E65+F65</f>
        <v>6992359.180000024</v>
      </c>
      <c r="C65" s="45">
        <f>C58+C64</f>
        <v>23117996.710000012</v>
      </c>
      <c r="D65" s="45">
        <f>D58+D64</f>
        <v>-983216.8199999863</v>
      </c>
      <c r="E65" s="45">
        <f>E58+E64</f>
        <v>-14748479.560000006</v>
      </c>
      <c r="F65" s="45">
        <f>F58+F64</f>
        <v>-393941.1499999969</v>
      </c>
      <c r="G65" s="3"/>
    </row>
    <row r="66" spans="1:11" ht="18" customHeight="1">
      <c r="A66" s="63"/>
      <c r="B66" s="203"/>
      <c r="C66" s="45"/>
      <c r="D66" s="45"/>
      <c r="E66" s="45"/>
      <c r="F66" s="45"/>
      <c r="H66" s="34"/>
      <c r="I66" s="34"/>
      <c r="J66" s="34"/>
      <c r="K66" s="34"/>
    </row>
    <row r="67" spans="1:11" ht="18" customHeight="1">
      <c r="A67" s="58" t="s">
        <v>30</v>
      </c>
      <c r="B67" s="206"/>
      <c r="C67" s="45"/>
      <c r="D67" s="45"/>
      <c r="E67" s="45"/>
      <c r="F67" s="45"/>
      <c r="H67" s="34"/>
      <c r="I67" s="34"/>
      <c r="J67" s="34"/>
      <c r="K67" s="34"/>
    </row>
    <row r="68" spans="1:11" ht="18" customHeight="1">
      <c r="A68" s="33" t="s">
        <v>380</v>
      </c>
      <c r="B68" s="46">
        <f aca="true" t="shared" si="3" ref="B68">C68+D68+E68+F68</f>
        <v>0</v>
      </c>
      <c r="C68" s="45"/>
      <c r="D68" s="45"/>
      <c r="E68" s="45"/>
      <c r="F68" s="45"/>
      <c r="H68" s="34"/>
      <c r="I68" s="34"/>
      <c r="J68" s="34"/>
      <c r="K68" s="34"/>
    </row>
    <row r="69" spans="1:11" ht="18" customHeight="1">
      <c r="A69" s="73" t="s">
        <v>381</v>
      </c>
      <c r="B69" s="205">
        <f>C69+D69+E69+F69</f>
        <v>6992359.180000024</v>
      </c>
      <c r="C69" s="74">
        <f>C65+C68</f>
        <v>23117996.710000012</v>
      </c>
      <c r="D69" s="74">
        <f>D65+D68</f>
        <v>-983216.8199999863</v>
      </c>
      <c r="E69" s="74">
        <f>E65+E68</f>
        <v>-14748479.560000006</v>
      </c>
      <c r="F69" s="74">
        <f>F65+F68</f>
        <v>-393941.1499999969</v>
      </c>
      <c r="H69" s="34"/>
      <c r="I69" s="34"/>
      <c r="J69" s="34"/>
      <c r="K69" s="34"/>
    </row>
    <row r="70" spans="1:11" ht="18" customHeight="1">
      <c r="A70" s="63"/>
      <c r="B70" s="35"/>
      <c r="C70" s="35"/>
      <c r="D70" s="35"/>
      <c r="E70" s="35"/>
      <c r="F70" s="35"/>
      <c r="G70" s="26"/>
      <c r="H70" s="34"/>
      <c r="I70" s="34"/>
      <c r="J70" s="34"/>
      <c r="K70" s="34"/>
    </row>
    <row r="71" spans="1:11" ht="18" customHeight="1">
      <c r="A71" s="63"/>
      <c r="B71" s="35"/>
      <c r="C71" s="35"/>
      <c r="D71" s="35"/>
      <c r="E71" s="35"/>
      <c r="F71" s="35"/>
      <c r="H71" s="34"/>
      <c r="I71" s="34"/>
      <c r="J71" s="34"/>
      <c r="K71" s="34"/>
    </row>
    <row r="72" spans="1:6" ht="18" customHeight="1">
      <c r="A72" s="34" t="s">
        <v>403</v>
      </c>
      <c r="C72" s="35"/>
      <c r="D72" s="35"/>
      <c r="E72" s="35"/>
      <c r="F72" s="35"/>
    </row>
    <row r="73" ht="18" customHeight="1">
      <c r="A73" s="34" t="s">
        <v>404</v>
      </c>
    </row>
    <row r="74" ht="18" customHeight="1">
      <c r="A74" s="34"/>
    </row>
    <row r="75" ht="18" customHeight="1">
      <c r="A75" s="63" t="s">
        <v>424</v>
      </c>
    </row>
    <row r="76" spans="1:10" ht="18" customHeight="1">
      <c r="A76" s="33"/>
      <c r="H76" s="26"/>
      <c r="J76" s="26"/>
    </row>
    <row r="77" ht="18" customHeight="1"/>
    <row r="78" ht="18" customHeight="1"/>
    <row r="79" ht="18" customHeight="1"/>
    <row r="80" ht="18" customHeight="1"/>
  </sheetData>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83"/>
  <sheetViews>
    <sheetView zoomScale="75" zoomScaleNormal="75" workbookViewId="0" topLeftCell="A1">
      <selection activeCell="B1" sqref="B1"/>
    </sheetView>
  </sheetViews>
  <sheetFormatPr defaultColWidth="11.421875" defaultRowHeight="12.75"/>
  <cols>
    <col min="1" max="1" width="3.421875" style="64"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7</v>
      </c>
      <c r="M1" s="8">
        <f>Balance!K1</f>
        <v>1995</v>
      </c>
      <c r="N1" s="48"/>
      <c r="O1" s="48"/>
      <c r="P1" s="48"/>
      <c r="Q1" s="48"/>
      <c r="R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row>
    <row r="2" spans="1:214" s="2" customFormat="1" ht="12.95" customHeight="1" thickBot="1">
      <c r="A2" s="5"/>
      <c r="B2" s="6"/>
      <c r="C2" s="9"/>
      <c r="D2" s="9"/>
      <c r="E2" s="9"/>
      <c r="F2" s="9"/>
      <c r="G2" s="9"/>
      <c r="H2" s="9"/>
      <c r="I2" s="9"/>
      <c r="J2" s="9"/>
      <c r="K2" s="6"/>
      <c r="L2" s="7"/>
      <c r="M2" s="92"/>
      <c r="N2" s="48"/>
      <c r="O2" s="48"/>
      <c r="P2" s="48"/>
      <c r="Q2" s="48"/>
      <c r="R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row>
    <row r="3" spans="1:214" s="2" customFormat="1" ht="33" customHeight="1">
      <c r="A3" s="75" t="str">
        <f>"                                            "&amp;"UNIVERSIDADES"</f>
        <v xml:space="preserve">                                            UNIVERSIDADES</v>
      </c>
      <c r="B3" s="10"/>
      <c r="C3" s="10"/>
      <c r="D3" s="10"/>
      <c r="E3" s="10"/>
      <c r="F3" s="10"/>
      <c r="G3" s="10"/>
      <c r="H3" s="10"/>
      <c r="I3" s="10"/>
      <c r="J3" s="11"/>
      <c r="K3" s="11"/>
      <c r="L3" s="12"/>
      <c r="M3" s="13"/>
      <c r="N3" s="15"/>
      <c r="O3" s="15"/>
      <c r="P3" s="15"/>
      <c r="Q3" s="15"/>
      <c r="R3" s="15"/>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row>
    <row r="4" spans="1:214" s="2" customFormat="1" ht="20.1" customHeight="1">
      <c r="A4" s="14" t="s">
        <v>31</v>
      </c>
      <c r="B4" s="15"/>
      <c r="C4" s="15"/>
      <c r="D4" s="15"/>
      <c r="E4" s="15"/>
      <c r="F4" s="15"/>
      <c r="G4" s="15"/>
      <c r="H4" s="15"/>
      <c r="I4" s="15"/>
      <c r="J4" s="14"/>
      <c r="K4" s="14"/>
      <c r="L4" s="16"/>
      <c r="M4" s="17"/>
      <c r="N4" s="15"/>
      <c r="O4" s="15"/>
      <c r="P4" s="15"/>
      <c r="Q4" s="15"/>
      <c r="R4" s="15"/>
      <c r="AC4" s="52"/>
      <c r="AD4" s="52"/>
      <c r="AE4" s="52"/>
      <c r="AF4" s="52"/>
      <c r="AG4" s="52"/>
      <c r="AH4" s="52"/>
      <c r="AI4" s="52"/>
      <c r="AJ4" s="52"/>
      <c r="AK4" s="52"/>
      <c r="AL4" s="52"/>
      <c r="AM4" s="52"/>
      <c r="AN4" s="52"/>
      <c r="AO4" s="52"/>
      <c r="AP4" s="52"/>
      <c r="AQ4" s="52"/>
      <c r="AR4" s="52"/>
      <c r="AS4" s="52"/>
      <c r="AT4" s="52"/>
      <c r="AU4" s="52"/>
      <c r="AV4" s="52"/>
      <c r="AW4" s="52"/>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row>
    <row r="5" spans="1:214" s="2" customFormat="1" ht="18" customHeight="1" thickBot="1">
      <c r="A5" s="18"/>
      <c r="B5" s="19"/>
      <c r="C5" s="19"/>
      <c r="D5" s="19"/>
      <c r="E5" s="19"/>
      <c r="F5" s="19"/>
      <c r="G5" s="19"/>
      <c r="H5" s="19"/>
      <c r="I5" s="19"/>
      <c r="J5" s="19"/>
      <c r="K5" s="148"/>
      <c r="L5" s="76" t="str">
        <f>"Población a 01/01/"&amp;M1</f>
        <v>Población a 01/01/1995</v>
      </c>
      <c r="M5" s="78">
        <f>Balance!J5</f>
        <v>3969401</v>
      </c>
      <c r="N5" s="21"/>
      <c r="O5" s="21"/>
      <c r="P5" s="21"/>
      <c r="Q5" s="21"/>
      <c r="R5" s="21"/>
      <c r="AC5" s="52"/>
      <c r="AD5" s="52"/>
      <c r="AE5" s="52"/>
      <c r="AF5" s="52"/>
      <c r="AG5" s="52"/>
      <c r="AH5" s="52"/>
      <c r="AI5" s="52"/>
      <c r="AJ5" s="52"/>
      <c r="AK5" s="52"/>
      <c r="AL5" s="52"/>
      <c r="AM5" s="52"/>
      <c r="AN5" s="52"/>
      <c r="AO5" s="52"/>
      <c r="AP5" s="52"/>
      <c r="AQ5" s="52"/>
      <c r="AR5" s="52"/>
      <c r="AS5" s="52"/>
      <c r="AT5" s="52"/>
      <c r="AU5" s="52"/>
      <c r="AV5" s="52"/>
      <c r="AW5" s="52"/>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row>
    <row r="6" spans="1:214" s="2" customFormat="1" ht="12.95" customHeight="1">
      <c r="A6" s="96"/>
      <c r="B6" s="97"/>
      <c r="D6" s="97"/>
      <c r="E6" s="97"/>
      <c r="F6" s="97"/>
      <c r="G6" s="97"/>
      <c r="H6" s="97"/>
      <c r="I6" s="97"/>
      <c r="J6" s="98"/>
      <c r="K6" s="98"/>
      <c r="L6" s="98"/>
      <c r="M6" s="99"/>
      <c r="N6" s="52"/>
      <c r="O6" s="52"/>
      <c r="P6" s="52"/>
      <c r="Q6" s="52"/>
      <c r="R6" s="52"/>
      <c r="AC6" s="52"/>
      <c r="AD6" s="52"/>
      <c r="AE6" s="52"/>
      <c r="AF6" s="52"/>
      <c r="AG6" s="52"/>
      <c r="AH6" s="52"/>
      <c r="AI6" s="52"/>
      <c r="AJ6" s="52"/>
      <c r="AK6" s="52"/>
      <c r="AL6" s="52"/>
      <c r="AM6" s="52"/>
      <c r="AN6" s="52"/>
      <c r="AO6" s="52"/>
      <c r="AP6" s="52"/>
      <c r="AQ6" s="52"/>
      <c r="AR6" s="52"/>
      <c r="AS6" s="52"/>
      <c r="AT6" s="52"/>
      <c r="AU6" s="52"/>
      <c r="AV6" s="52"/>
      <c r="AW6" s="52"/>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row>
    <row r="7" spans="1:214" s="2" customFormat="1" ht="12.95" customHeight="1">
      <c r="A7" s="100"/>
      <c r="B7" s="100"/>
      <c r="C7" s="100"/>
      <c r="D7" s="100"/>
      <c r="E7" s="100"/>
      <c r="F7" s="101"/>
      <c r="G7" s="101"/>
      <c r="H7" s="100"/>
      <c r="I7" s="100"/>
      <c r="J7" s="100"/>
      <c r="K7" s="100"/>
      <c r="L7" s="100"/>
      <c r="M7" s="100"/>
      <c r="N7" s="48"/>
      <c r="O7" s="48"/>
      <c r="P7" s="48"/>
      <c r="Q7" s="48"/>
      <c r="R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row>
    <row r="8" spans="1:214" s="2" customFormat="1" ht="21" customHeight="1">
      <c r="A8" s="102" t="s">
        <v>222</v>
      </c>
      <c r="B8" s="100"/>
      <c r="C8" s="100"/>
      <c r="D8" s="100"/>
      <c r="E8" s="100"/>
      <c r="F8" s="101"/>
      <c r="G8" s="101"/>
      <c r="H8" s="100"/>
      <c r="I8" s="100"/>
      <c r="J8" s="100"/>
      <c r="K8" s="100"/>
      <c r="L8" s="100"/>
      <c r="M8" s="100"/>
      <c r="N8" s="48"/>
      <c r="O8" s="48"/>
      <c r="P8" s="48"/>
      <c r="Q8" s="48"/>
      <c r="R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row>
    <row r="9" spans="1:214" s="2" customFormat="1" ht="18" customHeight="1">
      <c r="A9" s="24"/>
      <c r="B9" s="100"/>
      <c r="C9" s="100"/>
      <c r="D9" s="100"/>
      <c r="E9" s="100"/>
      <c r="F9" s="101"/>
      <c r="G9" s="101"/>
      <c r="H9" s="100"/>
      <c r="I9" s="100"/>
      <c r="J9" s="100"/>
      <c r="K9" s="100"/>
      <c r="L9" s="100"/>
      <c r="M9" s="100"/>
      <c r="N9" s="48"/>
      <c r="O9" s="48"/>
      <c r="P9" s="48"/>
      <c r="Q9" s="48"/>
      <c r="R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row>
    <row r="10" spans="1:214" s="2" customFormat="1" ht="12.95" customHeight="1">
      <c r="A10" s="115"/>
      <c r="B10" s="100"/>
      <c r="C10" s="100"/>
      <c r="D10" s="100"/>
      <c r="E10" s="100"/>
      <c r="F10" s="101"/>
      <c r="G10" s="101"/>
      <c r="H10" s="100"/>
      <c r="I10" s="100"/>
      <c r="J10" s="100"/>
      <c r="K10" s="100"/>
      <c r="L10" s="100"/>
      <c r="M10" s="100"/>
      <c r="N10" s="48"/>
      <c r="O10" s="48"/>
      <c r="P10" s="48"/>
      <c r="Q10" s="48"/>
      <c r="R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row>
    <row r="11" spans="1:214" s="2" customFormat="1" ht="18" customHeight="1" thickBot="1">
      <c r="A11" s="48" t="s">
        <v>8</v>
      </c>
      <c r="B11" s="100"/>
      <c r="C11" s="100"/>
      <c r="D11" s="100"/>
      <c r="E11" s="100"/>
      <c r="F11" s="101"/>
      <c r="G11" s="101"/>
      <c r="H11" s="100"/>
      <c r="I11" s="100"/>
      <c r="J11" s="100"/>
      <c r="K11" s="100"/>
      <c r="L11" s="100"/>
      <c r="M11" s="193">
        <f>M1</f>
        <v>1995</v>
      </c>
      <c r="N11" s="48"/>
      <c r="O11" s="48"/>
      <c r="P11" s="48"/>
      <c r="Q11" s="48"/>
      <c r="R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row>
    <row r="12" spans="1:214" s="2" customFormat="1" ht="33" customHeight="1">
      <c r="A12" s="241" t="s">
        <v>361</v>
      </c>
      <c r="B12" s="241"/>
      <c r="C12" s="116"/>
      <c r="D12" s="117"/>
      <c r="E12" s="117"/>
      <c r="F12" s="240"/>
      <c r="G12" s="240"/>
      <c r="H12" s="240"/>
      <c r="I12" s="240"/>
      <c r="J12" s="240"/>
      <c r="K12" s="240"/>
      <c r="L12" s="240"/>
      <c r="M12" s="240"/>
      <c r="N12" s="48"/>
      <c r="O12" s="48"/>
      <c r="P12" s="48"/>
      <c r="Q12" s="48"/>
      <c r="R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row>
    <row r="13" spans="1:214" s="2" customFormat="1" ht="18" customHeight="1">
      <c r="A13" s="118"/>
      <c r="B13" s="118"/>
      <c r="C13" s="242" t="s">
        <v>136</v>
      </c>
      <c r="D13" s="243"/>
      <c r="E13" s="244"/>
      <c r="F13" s="242" t="s">
        <v>137</v>
      </c>
      <c r="G13" s="243"/>
      <c r="H13" s="243"/>
      <c r="I13" s="243"/>
      <c r="J13" s="243"/>
      <c r="K13" s="243"/>
      <c r="L13" s="243"/>
      <c r="M13" s="244"/>
      <c r="N13" s="48"/>
      <c r="O13" s="48"/>
      <c r="P13" s="48"/>
      <c r="Q13" s="48"/>
      <c r="R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row>
    <row r="14" spans="6:214" s="2" customFormat="1" ht="18" customHeight="1">
      <c r="F14" s="134" t="s">
        <v>388</v>
      </c>
      <c r="G14" s="134" t="s">
        <v>389</v>
      </c>
      <c r="L14" s="134" t="s">
        <v>389</v>
      </c>
      <c r="M14" s="134" t="s">
        <v>390</v>
      </c>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row>
    <row r="15" spans="1:214" s="2" customFormat="1" ht="18" customHeight="1">
      <c r="A15" s="191" t="s">
        <v>138</v>
      </c>
      <c r="B15" s="191"/>
      <c r="C15" s="119" t="s">
        <v>139</v>
      </c>
      <c r="D15" s="119" t="s">
        <v>140</v>
      </c>
      <c r="E15" s="119" t="s">
        <v>141</v>
      </c>
      <c r="F15" s="119" t="s">
        <v>391</v>
      </c>
      <c r="G15" s="119" t="s">
        <v>392</v>
      </c>
      <c r="H15" s="119" t="s">
        <v>142</v>
      </c>
      <c r="I15" s="119" t="s">
        <v>143</v>
      </c>
      <c r="J15" s="119" t="s">
        <v>144</v>
      </c>
      <c r="K15" s="119" t="s">
        <v>145</v>
      </c>
      <c r="L15" s="119" t="s">
        <v>146</v>
      </c>
      <c r="M15" s="119" t="s">
        <v>393</v>
      </c>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row>
    <row r="16" spans="1:132" s="2" customFormat="1" ht="18" customHeight="1">
      <c r="A16" s="120" t="s">
        <v>147</v>
      </c>
      <c r="B16" s="33" t="s">
        <v>148</v>
      </c>
      <c r="C16" s="207">
        <f aca="true" t="shared" si="0" ref="C16:G23">C91+C121</f>
        <v>200186226.11999997</v>
      </c>
      <c r="D16" s="207">
        <f t="shared" si="0"/>
        <v>732034.3099999999</v>
      </c>
      <c r="E16" s="207">
        <f t="shared" si="0"/>
        <v>200918260.42999998</v>
      </c>
      <c r="F16" s="207">
        <f>F91+F121</f>
        <v>195356278.84</v>
      </c>
      <c r="G16" s="207">
        <f t="shared" si="0"/>
        <v>190554714.61999997</v>
      </c>
      <c r="H16" s="123">
        <f aca="true" t="shared" si="1" ref="H16:H24">IF($G$24=0,"    --",G16/$G$24*100)</f>
        <v>52.27362755311319</v>
      </c>
      <c r="I16" s="123">
        <f aca="true" t="shared" si="2" ref="I16:I24">IF(G16=0,"    --",IF(E16=0,"    --",G16/E16*100))</f>
        <v>94.84190944724476</v>
      </c>
      <c r="J16" s="207">
        <f aca="true" t="shared" si="3" ref="J16:J23">I91+I121</f>
        <v>186354382.96</v>
      </c>
      <c r="K16" s="123">
        <f aca="true" t="shared" si="4" ref="K16:K24">IF(G16=0,"    --",J16/G16*100)</f>
        <v>97.79573459078345</v>
      </c>
      <c r="L16" s="207">
        <f aca="true" t="shared" si="5" ref="L16:L23">J91+J121</f>
        <v>4200331.67</v>
      </c>
      <c r="M16" s="207">
        <f aca="true" t="shared" si="6" ref="M16:M23">H91+H121</f>
        <v>10363545.81</v>
      </c>
      <c r="N16" s="48"/>
      <c r="O16" s="48"/>
      <c r="P16" s="48"/>
      <c r="Q16" s="48"/>
      <c r="R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row>
    <row r="17" spans="1:132" s="2" customFormat="1" ht="18" customHeight="1">
      <c r="A17" s="120" t="s">
        <v>149</v>
      </c>
      <c r="B17" s="33" t="s">
        <v>150</v>
      </c>
      <c r="C17" s="207">
        <f t="shared" si="0"/>
        <v>42121263.46</v>
      </c>
      <c r="D17" s="207">
        <f t="shared" si="0"/>
        <v>6597466.040000001</v>
      </c>
      <c r="E17" s="207">
        <f t="shared" si="0"/>
        <v>48718729.480000004</v>
      </c>
      <c r="F17" s="207">
        <f t="shared" si="0"/>
        <v>47592986.33</v>
      </c>
      <c r="G17" s="207">
        <f t="shared" si="0"/>
        <v>47397897.839999996</v>
      </c>
      <c r="H17" s="123">
        <f t="shared" si="1"/>
        <v>13.002355063371501</v>
      </c>
      <c r="I17" s="123">
        <f t="shared" si="2"/>
        <v>97.2888627144059</v>
      </c>
      <c r="J17" s="207">
        <f t="shared" si="3"/>
        <v>43985218.85</v>
      </c>
      <c r="K17" s="123">
        <f t="shared" si="4"/>
        <v>92.79993597707625</v>
      </c>
      <c r="L17" s="207">
        <f t="shared" si="5"/>
        <v>3412679</v>
      </c>
      <c r="M17" s="207">
        <f t="shared" si="6"/>
        <v>1320831.64</v>
      </c>
      <c r="N17" s="48"/>
      <c r="O17" s="48"/>
      <c r="P17" s="48"/>
      <c r="Q17" s="48"/>
      <c r="R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row>
    <row r="18" spans="1:132" s="2" customFormat="1" ht="18" customHeight="1">
      <c r="A18" s="120" t="s">
        <v>151</v>
      </c>
      <c r="B18" s="33" t="s">
        <v>152</v>
      </c>
      <c r="C18" s="207">
        <f t="shared" si="0"/>
        <v>342576.9</v>
      </c>
      <c r="D18" s="207">
        <f t="shared" si="0"/>
        <v>1860808.5</v>
      </c>
      <c r="E18" s="207">
        <f t="shared" si="0"/>
        <v>2203385.4</v>
      </c>
      <c r="F18" s="207">
        <f t="shared" si="0"/>
        <v>2196226.61</v>
      </c>
      <c r="G18" s="207">
        <f t="shared" si="0"/>
        <v>2196226.61</v>
      </c>
      <c r="H18" s="123">
        <f t="shared" si="1"/>
        <v>0.6024764701430634</v>
      </c>
      <c r="I18" s="123">
        <f t="shared" si="2"/>
        <v>99.67510041593269</v>
      </c>
      <c r="J18" s="207">
        <f t="shared" si="3"/>
        <v>2179495.33</v>
      </c>
      <c r="K18" s="123">
        <f t="shared" si="4"/>
        <v>99.23818061743638</v>
      </c>
      <c r="L18" s="207">
        <f t="shared" si="5"/>
        <v>16731.280000000002</v>
      </c>
      <c r="M18" s="207">
        <f t="shared" si="6"/>
        <v>7158.78</v>
      </c>
      <c r="N18" s="48"/>
      <c r="O18" s="48"/>
      <c r="P18" s="48"/>
      <c r="Q18" s="48"/>
      <c r="R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row>
    <row r="19" spans="1:132" s="2" customFormat="1" ht="18" customHeight="1">
      <c r="A19" s="120" t="s">
        <v>153</v>
      </c>
      <c r="B19" s="33" t="s">
        <v>154</v>
      </c>
      <c r="C19" s="207">
        <f t="shared" si="0"/>
        <v>1679167.7199999997</v>
      </c>
      <c r="D19" s="207">
        <f t="shared" si="0"/>
        <v>1057868.91</v>
      </c>
      <c r="E19" s="207">
        <f t="shared" si="0"/>
        <v>2737036.63</v>
      </c>
      <c r="F19" s="207">
        <f t="shared" si="0"/>
        <v>2281930.23</v>
      </c>
      <c r="G19" s="207">
        <f t="shared" si="0"/>
        <v>2194216.46</v>
      </c>
      <c r="H19" s="123">
        <f t="shared" si="1"/>
        <v>0.6019250388513453</v>
      </c>
      <c r="I19" s="123">
        <f t="shared" si="2"/>
        <v>80.16759571098616</v>
      </c>
      <c r="J19" s="207">
        <f t="shared" si="3"/>
        <v>1972123.89</v>
      </c>
      <c r="K19" s="123">
        <f t="shared" si="4"/>
        <v>89.87827436131802</v>
      </c>
      <c r="L19" s="207">
        <f t="shared" si="5"/>
        <v>222092.57</v>
      </c>
      <c r="M19" s="207">
        <f t="shared" si="6"/>
        <v>542820.16</v>
      </c>
      <c r="N19" s="48"/>
      <c r="O19" s="48"/>
      <c r="P19" s="48"/>
      <c r="Q19" s="48"/>
      <c r="R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row>
    <row r="20" spans="1:132" s="2" customFormat="1" ht="18" customHeight="1">
      <c r="A20" s="120" t="s">
        <v>155</v>
      </c>
      <c r="B20" s="33" t="s">
        <v>156</v>
      </c>
      <c r="C20" s="207">
        <f t="shared" si="0"/>
        <v>81991454.33</v>
      </c>
      <c r="D20" s="207">
        <f t="shared" si="0"/>
        <v>103240237.02999999</v>
      </c>
      <c r="E20" s="207">
        <f t="shared" si="0"/>
        <v>185231691.36</v>
      </c>
      <c r="F20" s="207">
        <f t="shared" si="0"/>
        <v>153439645.06</v>
      </c>
      <c r="G20" s="207">
        <f t="shared" si="0"/>
        <v>121924106.28999999</v>
      </c>
      <c r="H20" s="123">
        <f t="shared" si="1"/>
        <v>33.4466420033709</v>
      </c>
      <c r="I20" s="123">
        <f t="shared" si="2"/>
        <v>65.82248717528526</v>
      </c>
      <c r="J20" s="207">
        <f t="shared" si="3"/>
        <v>84450534.12</v>
      </c>
      <c r="K20" s="123">
        <f t="shared" si="4"/>
        <v>69.26483752042601</v>
      </c>
      <c r="L20" s="207">
        <f t="shared" si="5"/>
        <v>37473572.16</v>
      </c>
      <c r="M20" s="207">
        <f t="shared" si="6"/>
        <v>63307585.08</v>
      </c>
      <c r="N20" s="48"/>
      <c r="O20" s="48"/>
      <c r="P20" s="48"/>
      <c r="Q20" s="48"/>
      <c r="R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row>
    <row r="21" spans="1:132" s="2" customFormat="1" ht="18" customHeight="1">
      <c r="A21" s="120" t="s">
        <v>157</v>
      </c>
      <c r="B21" s="33" t="s">
        <v>158</v>
      </c>
      <c r="C21" s="207">
        <f t="shared" si="0"/>
        <v>1202024.21</v>
      </c>
      <c r="D21" s="207">
        <f t="shared" si="0"/>
        <v>199902.64</v>
      </c>
      <c r="E21" s="207">
        <f t="shared" si="0"/>
        <v>1401926.85</v>
      </c>
      <c r="F21" s="207">
        <f t="shared" si="0"/>
        <v>199902.64</v>
      </c>
      <c r="G21" s="207">
        <f t="shared" si="0"/>
        <v>199902.64</v>
      </c>
      <c r="H21" s="123">
        <f t="shared" si="1"/>
        <v>0.054837982734158554</v>
      </c>
      <c r="I21" s="123">
        <f t="shared" si="2"/>
        <v>14.259134847156968</v>
      </c>
      <c r="J21" s="207">
        <f t="shared" si="3"/>
        <v>199902.64</v>
      </c>
      <c r="K21" s="123">
        <f t="shared" si="4"/>
        <v>100</v>
      </c>
      <c r="L21" s="207">
        <f t="shared" si="5"/>
        <v>0</v>
      </c>
      <c r="M21" s="207">
        <f t="shared" si="6"/>
        <v>1202024.21</v>
      </c>
      <c r="N21" s="48"/>
      <c r="O21" s="48"/>
      <c r="P21" s="48"/>
      <c r="Q21" s="48"/>
      <c r="R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row>
    <row r="22" spans="1:132" s="2" customFormat="1" ht="18" customHeight="1">
      <c r="A22" s="120" t="s">
        <v>159</v>
      </c>
      <c r="B22" s="33" t="s">
        <v>160</v>
      </c>
      <c r="C22" s="207">
        <f t="shared" si="0"/>
        <v>66111.33</v>
      </c>
      <c r="D22" s="207">
        <f t="shared" si="0"/>
        <v>0</v>
      </c>
      <c r="E22" s="207">
        <f t="shared" si="0"/>
        <v>66111.33</v>
      </c>
      <c r="F22" s="207">
        <f t="shared" si="0"/>
        <v>66111.33</v>
      </c>
      <c r="G22" s="207">
        <f t="shared" si="0"/>
        <v>66111.33</v>
      </c>
      <c r="H22" s="123">
        <f t="shared" si="1"/>
        <v>0.01813588841584212</v>
      </c>
      <c r="I22" s="123">
        <f t="shared" si="2"/>
        <v>100</v>
      </c>
      <c r="J22" s="207">
        <f t="shared" si="3"/>
        <v>66111.33</v>
      </c>
      <c r="K22" s="123">
        <f t="shared" si="4"/>
        <v>100</v>
      </c>
      <c r="L22" s="207">
        <f t="shared" si="5"/>
        <v>0</v>
      </c>
      <c r="M22" s="207">
        <f t="shared" si="6"/>
        <v>0</v>
      </c>
      <c r="N22" s="48"/>
      <c r="O22" s="48"/>
      <c r="P22" s="48"/>
      <c r="Q22" s="48"/>
      <c r="R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row>
    <row r="23" spans="1:132" s="2" customFormat="1" ht="18" customHeight="1">
      <c r="A23" s="120" t="s">
        <v>161</v>
      </c>
      <c r="B23" s="33" t="s">
        <v>162</v>
      </c>
      <c r="C23" s="207">
        <f t="shared" si="0"/>
        <v>0</v>
      </c>
      <c r="D23" s="207">
        <f t="shared" si="0"/>
        <v>0</v>
      </c>
      <c r="E23" s="207">
        <f t="shared" si="0"/>
        <v>0</v>
      </c>
      <c r="F23" s="207">
        <f>F98+F128</f>
        <v>0</v>
      </c>
      <c r="G23" s="207">
        <f t="shared" si="0"/>
        <v>0</v>
      </c>
      <c r="H23" s="123">
        <f t="shared" si="1"/>
        <v>0</v>
      </c>
      <c r="I23" s="123" t="str">
        <f t="shared" si="2"/>
        <v xml:space="preserve">    --</v>
      </c>
      <c r="J23" s="207">
        <f t="shared" si="3"/>
        <v>0</v>
      </c>
      <c r="K23" s="123" t="str">
        <f t="shared" si="4"/>
        <v xml:space="preserve">    --</v>
      </c>
      <c r="L23" s="207">
        <f t="shared" si="5"/>
        <v>0</v>
      </c>
      <c r="M23" s="207">
        <f t="shared" si="6"/>
        <v>0</v>
      </c>
      <c r="N23" s="48"/>
      <c r="O23" s="48"/>
      <c r="P23" s="48"/>
      <c r="Q23" s="48"/>
      <c r="R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row>
    <row r="24" spans="1:132" s="2" customFormat="1" ht="18" customHeight="1" thickBot="1">
      <c r="A24" s="238" t="s">
        <v>163</v>
      </c>
      <c r="B24" s="238"/>
      <c r="C24" s="208">
        <f>SUM(C16:C23)</f>
        <v>327588824.06999993</v>
      </c>
      <c r="D24" s="208">
        <f>SUM(D16:D23)</f>
        <v>113688317.42999999</v>
      </c>
      <c r="E24" s="208">
        <f>SUM(E16:E23)</f>
        <v>441277141.47999996</v>
      </c>
      <c r="F24" s="208">
        <f>SUM(F16:F23)</f>
        <v>401133081.04</v>
      </c>
      <c r="G24" s="208">
        <f>SUM(G16:G23)</f>
        <v>364533175.78999996</v>
      </c>
      <c r="H24" s="124">
        <f t="shared" si="1"/>
        <v>100</v>
      </c>
      <c r="I24" s="124">
        <f t="shared" si="2"/>
        <v>82.60866959194661</v>
      </c>
      <c r="J24" s="208">
        <f>SUM(J16:J23)</f>
        <v>319207769.11999995</v>
      </c>
      <c r="K24" s="124">
        <f t="shared" si="4"/>
        <v>87.56617787344791</v>
      </c>
      <c r="L24" s="208">
        <f>SUM(L16:L23)</f>
        <v>45325406.68</v>
      </c>
      <c r="M24" s="208">
        <f>SUM(M16:M23)</f>
        <v>76743965.67999999</v>
      </c>
      <c r="N24" s="48"/>
      <c r="O24" s="48"/>
      <c r="P24" s="48"/>
      <c r="Q24" s="48"/>
      <c r="R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row>
    <row r="25" spans="1:132" s="2" customFormat="1" ht="18" customHeight="1">
      <c r="A25" s="125" t="s">
        <v>221</v>
      </c>
      <c r="B25" s="125"/>
      <c r="C25" s="126"/>
      <c r="D25" s="126"/>
      <c r="E25" s="126"/>
      <c r="F25" s="127"/>
      <c r="G25" s="126"/>
      <c r="H25" s="128"/>
      <c r="I25" s="128"/>
      <c r="J25" s="126"/>
      <c r="K25" s="128"/>
      <c r="L25" s="128"/>
      <c r="M25" s="126"/>
      <c r="N25" s="48"/>
      <c r="O25" s="48"/>
      <c r="P25" s="48"/>
      <c r="Q25" s="48"/>
      <c r="R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row>
    <row r="26" spans="1:132" s="2" customFormat="1" ht="12.95" customHeight="1">
      <c r="A26" s="129"/>
      <c r="B26" s="129"/>
      <c r="C26" s="130"/>
      <c r="D26" s="103"/>
      <c r="E26" s="103"/>
      <c r="F26" s="103"/>
      <c r="G26" s="103"/>
      <c r="H26" s="104"/>
      <c r="I26" s="104"/>
      <c r="J26" s="103"/>
      <c r="K26" s="104"/>
      <c r="L26" s="104"/>
      <c r="M26" s="103"/>
      <c r="N26" s="48"/>
      <c r="O26" s="48"/>
      <c r="P26" s="48"/>
      <c r="Q26" s="48"/>
      <c r="R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row>
    <row r="27" spans="1:132" s="2" customFormat="1" ht="12.95" customHeight="1">
      <c r="A27" s="129"/>
      <c r="B27" s="129"/>
      <c r="C27" s="130"/>
      <c r="D27" s="130"/>
      <c r="E27" s="130"/>
      <c r="F27" s="103"/>
      <c r="G27" s="103"/>
      <c r="H27" s="104"/>
      <c r="I27" s="104"/>
      <c r="J27" s="103"/>
      <c r="K27" s="104"/>
      <c r="L27" s="104"/>
      <c r="M27" s="103"/>
      <c r="N27" s="48"/>
      <c r="O27" s="48"/>
      <c r="P27" s="48"/>
      <c r="Q27" s="48"/>
      <c r="R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row>
    <row r="28" spans="1:132" s="2" customFormat="1" ht="18" customHeight="1" thickBot="1">
      <c r="A28" s="48" t="s">
        <v>8</v>
      </c>
      <c r="B28" s="129"/>
      <c r="C28" s="130"/>
      <c r="D28" s="103"/>
      <c r="E28" s="103"/>
      <c r="F28" s="103"/>
      <c r="G28" s="103"/>
      <c r="H28" s="104"/>
      <c r="I28" s="104"/>
      <c r="J28" s="103"/>
      <c r="K28" s="104"/>
      <c r="L28" s="104"/>
      <c r="M28" s="193">
        <f>M1</f>
        <v>1995</v>
      </c>
      <c r="N28" s="48"/>
      <c r="O28" s="48"/>
      <c r="P28" s="48"/>
      <c r="Q28" s="48"/>
      <c r="R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row>
    <row r="29" spans="1:132" s="2" customFormat="1" ht="33" customHeight="1">
      <c r="A29" s="241" t="s">
        <v>360</v>
      </c>
      <c r="B29" s="241"/>
      <c r="C29" s="116"/>
      <c r="D29" s="117"/>
      <c r="E29" s="117"/>
      <c r="F29" s="240"/>
      <c r="G29" s="240"/>
      <c r="H29" s="240"/>
      <c r="I29" s="240"/>
      <c r="J29" s="240"/>
      <c r="K29" s="240"/>
      <c r="L29" s="240"/>
      <c r="M29" s="240"/>
      <c r="N29" s="48"/>
      <c r="O29" s="48"/>
      <c r="P29" s="48"/>
      <c r="Q29" s="48"/>
      <c r="R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row>
    <row r="30" spans="1:132" s="2" customFormat="1" ht="18" customHeight="1">
      <c r="A30" s="118"/>
      <c r="B30" s="118"/>
      <c r="C30" s="242" t="s">
        <v>136</v>
      </c>
      <c r="D30" s="243"/>
      <c r="E30" s="244"/>
      <c r="F30" s="192"/>
      <c r="G30" s="242" t="s">
        <v>137</v>
      </c>
      <c r="H30" s="243"/>
      <c r="I30" s="243"/>
      <c r="J30" s="243"/>
      <c r="K30" s="243"/>
      <c r="L30" s="243"/>
      <c r="M30" s="244"/>
      <c r="N30" s="48"/>
      <c r="O30" s="48"/>
      <c r="P30" s="48"/>
      <c r="Q30" s="48"/>
      <c r="R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row>
    <row r="31" spans="6:132" s="2" customFormat="1" ht="18" customHeight="1">
      <c r="F31" s="134"/>
      <c r="G31" s="131" t="s">
        <v>394</v>
      </c>
      <c r="J31" s="131" t="s">
        <v>275</v>
      </c>
      <c r="K31" s="195"/>
      <c r="L31" s="131" t="s">
        <v>394</v>
      </c>
      <c r="M31" s="131" t="s">
        <v>394</v>
      </c>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row>
    <row r="32" spans="1:132" s="2" customFormat="1" ht="18" customHeight="1">
      <c r="A32" s="246" t="s">
        <v>138</v>
      </c>
      <c r="B32" s="246"/>
      <c r="C32" s="119" t="s">
        <v>139</v>
      </c>
      <c r="D32" s="119" t="s">
        <v>140</v>
      </c>
      <c r="E32" s="119" t="s">
        <v>141</v>
      </c>
      <c r="F32" s="134"/>
      <c r="G32" s="119" t="s">
        <v>395</v>
      </c>
      <c r="H32" s="119" t="s">
        <v>142</v>
      </c>
      <c r="I32" s="119" t="s">
        <v>164</v>
      </c>
      <c r="J32" s="119" t="s">
        <v>396</v>
      </c>
      <c r="K32" s="119" t="s">
        <v>165</v>
      </c>
      <c r="L32" s="119" t="s">
        <v>397</v>
      </c>
      <c r="M32" s="119" t="s">
        <v>166</v>
      </c>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row>
    <row r="33" spans="1:132" s="2" customFormat="1" ht="18" customHeight="1">
      <c r="A33" s="120" t="s">
        <v>147</v>
      </c>
      <c r="B33" s="33" t="s">
        <v>167</v>
      </c>
      <c r="C33" s="207">
        <f aca="true" t="shared" si="7" ref="C33:E41">C105+C135</f>
        <v>0</v>
      </c>
      <c r="D33" s="207">
        <f t="shared" si="7"/>
        <v>0</v>
      </c>
      <c r="E33" s="207">
        <f t="shared" si="7"/>
        <v>0</v>
      </c>
      <c r="F33" s="207"/>
      <c r="G33" s="207">
        <f aca="true" t="shared" si="8" ref="G33:G41">F105+F135</f>
        <v>0</v>
      </c>
      <c r="H33" s="123">
        <f aca="true" t="shared" si="9" ref="H33:H42">IF($G$42=0,"    --",G33/$G$42*100)</f>
        <v>0</v>
      </c>
      <c r="I33" s="123" t="str">
        <f aca="true" t="shared" si="10" ref="I33:I42">IF(G33=0,"    --",IF(E33=0,"    --",G33/E33*100))</f>
        <v xml:space="preserve">    --</v>
      </c>
      <c r="J33" s="207">
        <f aca="true" t="shared" si="11" ref="J33:J41">G105+G135</f>
        <v>0</v>
      </c>
      <c r="K33" s="123" t="str">
        <f aca="true" t="shared" si="12" ref="K33:K42">IF(G33=0,"     --",J33/G33*100)</f>
        <v xml:space="preserve">     --</v>
      </c>
      <c r="L33" s="207">
        <f aca="true" t="shared" si="13" ref="L33:L41">H105+H135</f>
        <v>0</v>
      </c>
      <c r="M33" s="207">
        <f aca="true" t="shared" si="14" ref="M33:M41">I105+I135</f>
        <v>0</v>
      </c>
      <c r="N33" s="48"/>
      <c r="O33" s="48"/>
      <c r="P33" s="48"/>
      <c r="Q33" s="48"/>
      <c r="R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row>
    <row r="34" spans="1:132" s="2" customFormat="1" ht="18" customHeight="1">
      <c r="A34" s="120" t="s">
        <v>149</v>
      </c>
      <c r="B34" s="33" t="s">
        <v>168</v>
      </c>
      <c r="C34" s="207">
        <f t="shared" si="7"/>
        <v>0</v>
      </c>
      <c r="D34" s="207">
        <f t="shared" si="7"/>
        <v>0</v>
      </c>
      <c r="E34" s="207">
        <f t="shared" si="7"/>
        <v>0</v>
      </c>
      <c r="F34" s="207"/>
      <c r="G34" s="207">
        <f t="shared" si="8"/>
        <v>0</v>
      </c>
      <c r="H34" s="123">
        <f t="shared" si="9"/>
        <v>0</v>
      </c>
      <c r="I34" s="123" t="str">
        <f t="shared" si="10"/>
        <v xml:space="preserve">    --</v>
      </c>
      <c r="J34" s="207">
        <f t="shared" si="11"/>
        <v>0</v>
      </c>
      <c r="K34" s="123" t="str">
        <f t="shared" si="12"/>
        <v xml:space="preserve">     --</v>
      </c>
      <c r="L34" s="207">
        <f t="shared" si="13"/>
        <v>0</v>
      </c>
      <c r="M34" s="207">
        <f t="shared" si="14"/>
        <v>0</v>
      </c>
      <c r="N34" s="48"/>
      <c r="O34" s="48"/>
      <c r="P34" s="48"/>
      <c r="Q34" s="48"/>
      <c r="R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row>
    <row r="35" spans="1:132" s="2" customFormat="1" ht="18" customHeight="1">
      <c r="A35" s="120" t="s">
        <v>151</v>
      </c>
      <c r="B35" s="33" t="s">
        <v>169</v>
      </c>
      <c r="C35" s="207">
        <f t="shared" si="7"/>
        <v>72154545.09</v>
      </c>
      <c r="D35" s="207">
        <f t="shared" si="7"/>
        <v>4116308.8499999996</v>
      </c>
      <c r="E35" s="207">
        <f t="shared" si="7"/>
        <v>76270853.92999999</v>
      </c>
      <c r="F35" s="207"/>
      <c r="G35" s="207">
        <f t="shared" si="8"/>
        <v>69147240.07</v>
      </c>
      <c r="H35" s="123">
        <f t="shared" si="9"/>
        <v>18.236895450698054</v>
      </c>
      <c r="I35" s="123">
        <f t="shared" si="10"/>
        <v>90.66010999884972</v>
      </c>
      <c r="J35" s="207">
        <f t="shared" si="11"/>
        <v>63503808.510000005</v>
      </c>
      <c r="K35" s="123">
        <f t="shared" si="12"/>
        <v>91.83852955767004</v>
      </c>
      <c r="L35" s="207">
        <f t="shared" si="13"/>
        <v>5426320.959999999</v>
      </c>
      <c r="M35" s="207">
        <f t="shared" si="14"/>
        <v>5643431.56</v>
      </c>
      <c r="N35" s="48"/>
      <c r="O35" s="48"/>
      <c r="P35" s="48"/>
      <c r="Q35" s="48"/>
      <c r="R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row>
    <row r="36" spans="1:132" s="2" customFormat="1" ht="18" customHeight="1">
      <c r="A36" s="120" t="s">
        <v>153</v>
      </c>
      <c r="B36" s="33" t="s">
        <v>154</v>
      </c>
      <c r="C36" s="207">
        <f t="shared" si="7"/>
        <v>191160890.68</v>
      </c>
      <c r="D36" s="207">
        <f t="shared" si="7"/>
        <v>2599733.2199999997</v>
      </c>
      <c r="E36" s="207">
        <f t="shared" si="7"/>
        <v>193760623.9</v>
      </c>
      <c r="F36" s="207"/>
      <c r="G36" s="207">
        <f t="shared" si="8"/>
        <v>195868238.63000003</v>
      </c>
      <c r="H36" s="123">
        <f t="shared" si="9"/>
        <v>51.65829592607901</v>
      </c>
      <c r="I36" s="123">
        <f t="shared" si="10"/>
        <v>101.08774150680262</v>
      </c>
      <c r="J36" s="207">
        <f t="shared" si="11"/>
        <v>162421536.03</v>
      </c>
      <c r="K36" s="123">
        <f t="shared" si="12"/>
        <v>82.92387635997397</v>
      </c>
      <c r="L36" s="207">
        <f t="shared" si="13"/>
        <v>0</v>
      </c>
      <c r="M36" s="207">
        <f t="shared" si="14"/>
        <v>33446702.599999998</v>
      </c>
      <c r="N36" s="48"/>
      <c r="O36" s="48"/>
      <c r="P36" s="48"/>
      <c r="Q36" s="48"/>
      <c r="R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row>
    <row r="37" spans="1:132" s="2" customFormat="1" ht="18" customHeight="1">
      <c r="A37" s="120" t="s">
        <v>170</v>
      </c>
      <c r="B37" s="33" t="s">
        <v>171</v>
      </c>
      <c r="C37" s="207">
        <f t="shared" si="7"/>
        <v>1676222.77</v>
      </c>
      <c r="D37" s="207">
        <f t="shared" si="7"/>
        <v>246928.08000000002</v>
      </c>
      <c r="E37" s="207">
        <f t="shared" si="7"/>
        <v>1923150.84</v>
      </c>
      <c r="F37" s="207"/>
      <c r="G37" s="207">
        <f t="shared" si="8"/>
        <v>2709573.44</v>
      </c>
      <c r="H37" s="123">
        <f t="shared" si="9"/>
        <v>0.7146229913333442</v>
      </c>
      <c r="I37" s="123">
        <f t="shared" si="10"/>
        <v>140.89240342686796</v>
      </c>
      <c r="J37" s="207">
        <f t="shared" si="11"/>
        <v>2060161.9200000002</v>
      </c>
      <c r="K37" s="123">
        <f t="shared" si="12"/>
        <v>76.03270277110482</v>
      </c>
      <c r="L37" s="207">
        <f t="shared" si="13"/>
        <v>0</v>
      </c>
      <c r="M37" s="207">
        <f t="shared" si="14"/>
        <v>649411.5</v>
      </c>
      <c r="N37" s="48"/>
      <c r="O37" s="48"/>
      <c r="P37" s="48"/>
      <c r="Q37" s="48"/>
      <c r="R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row>
    <row r="38" spans="1:132" s="2" customFormat="1" ht="18" customHeight="1">
      <c r="A38" s="120" t="s">
        <v>155</v>
      </c>
      <c r="B38" s="33" t="s">
        <v>172</v>
      </c>
      <c r="C38" s="207">
        <f t="shared" si="7"/>
        <v>0</v>
      </c>
      <c r="D38" s="207">
        <f t="shared" si="7"/>
        <v>0</v>
      </c>
      <c r="E38" s="207">
        <f t="shared" si="7"/>
        <v>0</v>
      </c>
      <c r="F38" s="207"/>
      <c r="G38" s="207">
        <f t="shared" si="8"/>
        <v>0</v>
      </c>
      <c r="H38" s="123">
        <f t="shared" si="9"/>
        <v>0</v>
      </c>
      <c r="I38" s="123" t="str">
        <f t="shared" si="10"/>
        <v xml:space="preserve">    --</v>
      </c>
      <c r="J38" s="207">
        <f t="shared" si="11"/>
        <v>0</v>
      </c>
      <c r="K38" s="123" t="str">
        <f t="shared" si="12"/>
        <v xml:space="preserve">     --</v>
      </c>
      <c r="L38" s="207">
        <f t="shared" si="13"/>
        <v>0</v>
      </c>
      <c r="M38" s="207">
        <f t="shared" si="14"/>
        <v>0</v>
      </c>
      <c r="N38" s="48"/>
      <c r="O38" s="48"/>
      <c r="P38" s="48"/>
      <c r="Q38" s="48"/>
      <c r="R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row>
    <row r="39" spans="1:132" s="2" customFormat="1" ht="18" customHeight="1">
      <c r="A39" s="120" t="s">
        <v>157</v>
      </c>
      <c r="B39" s="33" t="s">
        <v>158</v>
      </c>
      <c r="C39" s="207">
        <f t="shared" si="7"/>
        <v>51143948.41</v>
      </c>
      <c r="D39" s="207">
        <f t="shared" si="7"/>
        <v>38136817.339999996</v>
      </c>
      <c r="E39" s="207">
        <f t="shared" si="7"/>
        <v>89280765.75</v>
      </c>
      <c r="F39" s="207"/>
      <c r="G39" s="207">
        <f t="shared" si="8"/>
        <v>95465445.18</v>
      </c>
      <c r="H39" s="123">
        <f t="shared" si="9"/>
        <v>25.178059762610083</v>
      </c>
      <c r="I39" s="123">
        <f t="shared" si="10"/>
        <v>106.92722489334162</v>
      </c>
      <c r="J39" s="207">
        <f t="shared" si="11"/>
        <v>25519865.77</v>
      </c>
      <c r="K39" s="123">
        <f t="shared" si="12"/>
        <v>26.73204500527109</v>
      </c>
      <c r="L39" s="207">
        <f t="shared" si="13"/>
        <v>0</v>
      </c>
      <c r="M39" s="207">
        <f t="shared" si="14"/>
        <v>69945579.41</v>
      </c>
      <c r="N39" s="48"/>
      <c r="O39" s="48"/>
      <c r="P39" s="48"/>
      <c r="Q39" s="48"/>
      <c r="R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row>
    <row r="40" spans="1:132" s="2" customFormat="1" ht="18" customHeight="1">
      <c r="A40" s="120" t="s">
        <v>159</v>
      </c>
      <c r="B40" s="33" t="s">
        <v>160</v>
      </c>
      <c r="C40" s="207">
        <f t="shared" si="7"/>
        <v>10192053.94</v>
      </c>
      <c r="D40" s="207">
        <f t="shared" si="7"/>
        <v>35393669.41</v>
      </c>
      <c r="E40" s="207">
        <f t="shared" si="7"/>
        <v>45585723.35</v>
      </c>
      <c r="F40" s="207"/>
      <c r="G40" s="207">
        <f t="shared" si="8"/>
        <v>0</v>
      </c>
      <c r="H40" s="123">
        <f t="shared" si="9"/>
        <v>0</v>
      </c>
      <c r="I40" s="123" t="str">
        <f t="shared" si="10"/>
        <v xml:space="preserve">    --</v>
      </c>
      <c r="J40" s="207">
        <f t="shared" si="11"/>
        <v>0</v>
      </c>
      <c r="K40" s="123" t="str">
        <f t="shared" si="12"/>
        <v xml:space="preserve">     --</v>
      </c>
      <c r="L40" s="207">
        <f t="shared" si="13"/>
        <v>0</v>
      </c>
      <c r="M40" s="207">
        <f t="shared" si="14"/>
        <v>0</v>
      </c>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row>
    <row r="41" spans="1:132" s="2" customFormat="1" ht="18" customHeight="1">
      <c r="A41" s="120" t="s">
        <v>161</v>
      </c>
      <c r="B41" s="33" t="s">
        <v>162</v>
      </c>
      <c r="C41" s="207">
        <f t="shared" si="7"/>
        <v>1261163.2</v>
      </c>
      <c r="D41" s="207">
        <f t="shared" si="7"/>
        <v>33194860.53</v>
      </c>
      <c r="E41" s="207">
        <f t="shared" si="7"/>
        <v>34456023.730000004</v>
      </c>
      <c r="F41" s="207"/>
      <c r="G41" s="207">
        <f t="shared" si="8"/>
        <v>15970748.94</v>
      </c>
      <c r="H41" s="123">
        <f t="shared" si="9"/>
        <v>4.212125869279496</v>
      </c>
      <c r="I41" s="123">
        <f t="shared" si="10"/>
        <v>46.35110848874493</v>
      </c>
      <c r="J41" s="207">
        <f t="shared" si="11"/>
        <v>15970748.94</v>
      </c>
      <c r="K41" s="123">
        <f t="shared" si="12"/>
        <v>100</v>
      </c>
      <c r="L41" s="207">
        <f t="shared" si="13"/>
        <v>0</v>
      </c>
      <c r="M41" s="207">
        <f t="shared" si="14"/>
        <v>0</v>
      </c>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row>
    <row r="42" spans="1:132" s="2" customFormat="1" ht="18" customHeight="1" thickBot="1">
      <c r="A42" s="238" t="s">
        <v>173</v>
      </c>
      <c r="B42" s="238"/>
      <c r="C42" s="208">
        <f>SUM(C33:C41)</f>
        <v>327588824.09000003</v>
      </c>
      <c r="D42" s="208">
        <f>SUM(D33:D41)</f>
        <v>113688317.42999999</v>
      </c>
      <c r="E42" s="208">
        <f>SUM(E33:E41)</f>
        <v>441277141.5</v>
      </c>
      <c r="F42" s="209"/>
      <c r="G42" s="208">
        <f>SUM(G33:G41)</f>
        <v>379161246.26000005</v>
      </c>
      <c r="H42" s="124">
        <f t="shared" si="9"/>
        <v>100</v>
      </c>
      <c r="I42" s="124">
        <f t="shared" si="10"/>
        <v>85.92360913396645</v>
      </c>
      <c r="J42" s="208">
        <f>SUM(J33:J41)</f>
        <v>269476121.17</v>
      </c>
      <c r="K42" s="124">
        <f t="shared" si="12"/>
        <v>71.07164137371088</v>
      </c>
      <c r="L42" s="208">
        <f>SUM(L33:L41)</f>
        <v>5426320.959999999</v>
      </c>
      <c r="M42" s="208">
        <f>SUM(M33:M41)</f>
        <v>109685125.07</v>
      </c>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row>
    <row r="43" spans="1:132" s="2" customFormat="1" ht="18" customHeight="1">
      <c r="A43" s="125" t="s">
        <v>221</v>
      </c>
      <c r="B43" s="125"/>
      <c r="C43" s="126"/>
      <c r="D43" s="126"/>
      <c r="E43" s="126"/>
      <c r="F43" s="126"/>
      <c r="G43" s="126"/>
      <c r="H43" s="128"/>
      <c r="I43" s="128"/>
      <c r="J43" s="126"/>
      <c r="K43" s="128"/>
      <c r="L43" s="128"/>
      <c r="M43" s="126"/>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row>
    <row r="44" spans="1:132" s="2" customFormat="1" ht="12.95" customHeight="1">
      <c r="A44" s="125"/>
      <c r="B44" s="125"/>
      <c r="C44" s="126"/>
      <c r="D44" s="126"/>
      <c r="E44" s="126"/>
      <c r="F44" s="126"/>
      <c r="G44" s="126"/>
      <c r="H44" s="128"/>
      <c r="I44" s="128"/>
      <c r="J44" s="126"/>
      <c r="K44" s="128"/>
      <c r="L44" s="128"/>
      <c r="M44" s="126"/>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row>
    <row r="45" spans="1:132" s="2" customFormat="1" ht="12.95" customHeight="1">
      <c r="A45" s="125"/>
      <c r="B45" s="125"/>
      <c r="C45" s="126"/>
      <c r="D45" s="126"/>
      <c r="E45" s="126"/>
      <c r="F45" s="126"/>
      <c r="G45" s="126"/>
      <c r="H45" s="128"/>
      <c r="I45" s="128"/>
      <c r="J45" s="126"/>
      <c r="K45" s="128"/>
      <c r="L45" s="128"/>
      <c r="M45" s="126"/>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row>
    <row r="46" spans="1:132" s="2" customFormat="1" ht="18" customHeight="1" thickBot="1">
      <c r="A46" s="48" t="s">
        <v>8</v>
      </c>
      <c r="B46" s="125"/>
      <c r="C46" s="126"/>
      <c r="D46" s="126"/>
      <c r="E46" s="126"/>
      <c r="F46" s="126"/>
      <c r="G46" s="193">
        <f>M1</f>
        <v>1995</v>
      </c>
      <c r="H46" s="128"/>
      <c r="I46" s="128"/>
      <c r="J46" s="126"/>
      <c r="K46" s="128"/>
      <c r="L46" s="128"/>
      <c r="M46" s="126"/>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row>
    <row r="47" spans="1:13" ht="33" customHeight="1">
      <c r="A47" s="241" t="s">
        <v>359</v>
      </c>
      <c r="B47" s="241"/>
      <c r="C47" s="241"/>
      <c r="D47" s="132"/>
      <c r="E47" s="132"/>
      <c r="F47" s="133"/>
      <c r="G47" s="132"/>
      <c r="H47" s="34"/>
      <c r="I47" s="34"/>
      <c r="J47" s="34"/>
      <c r="K47" s="34"/>
      <c r="L47" s="34"/>
      <c r="M47" s="34"/>
    </row>
    <row r="48" spans="1:13" ht="33" customHeight="1">
      <c r="A48" s="239"/>
      <c r="B48" s="239"/>
      <c r="C48" s="239"/>
      <c r="D48" s="135" t="s">
        <v>174</v>
      </c>
      <c r="E48" s="135" t="s">
        <v>175</v>
      </c>
      <c r="F48" s="33"/>
      <c r="G48" s="134" t="s">
        <v>176</v>
      </c>
      <c r="H48" s="34"/>
      <c r="I48" s="34"/>
      <c r="J48" s="34"/>
      <c r="K48" s="34"/>
      <c r="L48" s="34"/>
      <c r="M48" s="34"/>
    </row>
    <row r="49" spans="1:13" ht="18" customHeight="1">
      <c r="A49" s="245" t="s">
        <v>12</v>
      </c>
      <c r="B49" s="245"/>
      <c r="C49" s="245"/>
      <c r="D49" s="135" t="s">
        <v>177</v>
      </c>
      <c r="E49" s="135" t="s">
        <v>178</v>
      </c>
      <c r="F49" s="136" t="s">
        <v>179</v>
      </c>
      <c r="G49" s="135" t="s">
        <v>180</v>
      </c>
      <c r="H49" s="34"/>
      <c r="I49" s="34"/>
      <c r="J49" s="34"/>
      <c r="K49" s="34"/>
      <c r="L49" s="34"/>
      <c r="M49" s="34"/>
    </row>
    <row r="50" spans="1:13" ht="18" customHeight="1">
      <c r="A50" s="137" t="s">
        <v>181</v>
      </c>
      <c r="B50" s="114" t="s">
        <v>182</v>
      </c>
      <c r="C50" s="122"/>
      <c r="D50" s="210">
        <f>D152+D170</f>
        <v>267725052.13</v>
      </c>
      <c r="E50" s="210">
        <f>E152+E170</f>
        <v>242343055.55</v>
      </c>
      <c r="F50" s="210"/>
      <c r="G50" s="210">
        <f aca="true" t="shared" si="15" ref="G50:G56">D50-E50</f>
        <v>25381996.579999983</v>
      </c>
      <c r="H50" s="34"/>
      <c r="I50" s="34"/>
      <c r="J50" s="34"/>
      <c r="K50" s="34"/>
      <c r="L50" s="34"/>
      <c r="M50" s="34"/>
    </row>
    <row r="51" spans="1:13" ht="18" customHeight="1">
      <c r="A51" s="44" t="s">
        <v>183</v>
      </c>
      <c r="B51" s="33" t="s">
        <v>184</v>
      </c>
      <c r="C51" s="121"/>
      <c r="D51" s="207">
        <f aca="true" t="shared" si="16" ref="D51:E55">D153+D171</f>
        <v>95465445.18</v>
      </c>
      <c r="E51" s="207">
        <f t="shared" si="16"/>
        <v>122124008.93</v>
      </c>
      <c r="F51" s="207"/>
      <c r="G51" s="207">
        <f t="shared" si="15"/>
        <v>-26658563.75</v>
      </c>
      <c r="H51" s="34"/>
      <c r="I51" s="34"/>
      <c r="J51" s="34"/>
      <c r="K51" s="34"/>
      <c r="L51" s="34"/>
      <c r="M51" s="34"/>
    </row>
    <row r="52" spans="1:13" ht="18" customHeight="1">
      <c r="A52" s="44" t="s">
        <v>185</v>
      </c>
      <c r="B52" s="33" t="s">
        <v>186</v>
      </c>
      <c r="C52" s="121"/>
      <c r="D52" s="207">
        <f t="shared" si="16"/>
        <v>0</v>
      </c>
      <c r="E52" s="207">
        <f t="shared" si="16"/>
        <v>0</v>
      </c>
      <c r="F52" s="207"/>
      <c r="G52" s="207">
        <f t="shared" si="15"/>
        <v>0</v>
      </c>
      <c r="H52" s="34"/>
      <c r="I52" s="34"/>
      <c r="J52" s="34"/>
      <c r="K52" s="34"/>
      <c r="L52" s="34"/>
      <c r="M52" s="34"/>
    </row>
    <row r="53" spans="1:13" ht="18" customHeight="1">
      <c r="A53" s="138" t="s">
        <v>187</v>
      </c>
      <c r="B53" s="138"/>
      <c r="C53" s="139"/>
      <c r="D53" s="211">
        <f>D50+D51+D52</f>
        <v>363190497.31</v>
      </c>
      <c r="E53" s="211">
        <f>E50+E51+E52</f>
        <v>364467064.48</v>
      </c>
      <c r="F53" s="207"/>
      <c r="G53" s="211">
        <f t="shared" si="15"/>
        <v>-1276567.1700000167</v>
      </c>
      <c r="H53" s="34"/>
      <c r="I53" s="34"/>
      <c r="J53" s="34"/>
      <c r="K53" s="34"/>
      <c r="L53" s="34"/>
      <c r="M53" s="34"/>
    </row>
    <row r="54" spans="1:13" ht="18" customHeight="1">
      <c r="A54" s="44" t="s">
        <v>188</v>
      </c>
      <c r="B54" s="33" t="s">
        <v>160</v>
      </c>
      <c r="C54" s="121"/>
      <c r="D54" s="207">
        <f t="shared" si="16"/>
        <v>0</v>
      </c>
      <c r="E54" s="207">
        <f>E156+E174</f>
        <v>66111.33</v>
      </c>
      <c r="F54" s="207"/>
      <c r="G54" s="207">
        <f t="shared" si="15"/>
        <v>-66111.33</v>
      </c>
      <c r="H54" s="34"/>
      <c r="I54" s="34"/>
      <c r="J54" s="34"/>
      <c r="K54" s="34"/>
      <c r="L54" s="34"/>
      <c r="M54" s="34"/>
    </row>
    <row r="55" spans="1:13" ht="18" customHeight="1">
      <c r="A55" s="44" t="s">
        <v>189</v>
      </c>
      <c r="B55" s="33" t="s">
        <v>190</v>
      </c>
      <c r="C55" s="121"/>
      <c r="D55" s="207">
        <f t="shared" si="16"/>
        <v>15970748.94</v>
      </c>
      <c r="E55" s="207">
        <f>E157+E175</f>
        <v>0</v>
      </c>
      <c r="F55" s="207"/>
      <c r="G55" s="207">
        <f t="shared" si="15"/>
        <v>15970748.94</v>
      </c>
      <c r="H55" s="34"/>
      <c r="I55" s="34"/>
      <c r="J55" s="34"/>
      <c r="K55" s="34"/>
      <c r="L55" s="34"/>
      <c r="M55" s="34"/>
    </row>
    <row r="56" spans="1:13" ht="18" customHeight="1">
      <c r="A56" s="114" t="s">
        <v>191</v>
      </c>
      <c r="B56" s="114"/>
      <c r="C56" s="122"/>
      <c r="D56" s="210">
        <f>D54+D55</f>
        <v>15970748.94</v>
      </c>
      <c r="E56" s="210">
        <f>E54+E55</f>
        <v>66111.33</v>
      </c>
      <c r="F56" s="207"/>
      <c r="G56" s="211">
        <f t="shared" si="15"/>
        <v>15904637.61</v>
      </c>
      <c r="H56" s="34"/>
      <c r="I56" s="34"/>
      <c r="J56" s="34"/>
      <c r="K56" s="34"/>
      <c r="L56" s="34"/>
      <c r="M56" s="34"/>
    </row>
    <row r="57" spans="1:13" ht="18" customHeight="1">
      <c r="A57" s="248" t="s">
        <v>386</v>
      </c>
      <c r="B57" s="248"/>
      <c r="C57" s="248"/>
      <c r="D57" s="212">
        <f>D53+D56</f>
        <v>379161246.25</v>
      </c>
      <c r="E57" s="212">
        <f>E53+E56</f>
        <v>364533175.81</v>
      </c>
      <c r="F57" s="207"/>
      <c r="G57" s="212">
        <f>G53+G56</f>
        <v>14628070.439999983</v>
      </c>
      <c r="H57" s="34"/>
      <c r="I57" s="34"/>
      <c r="J57" s="34"/>
      <c r="K57" s="34"/>
      <c r="L57" s="34"/>
      <c r="M57" s="34"/>
    </row>
    <row r="58" spans="1:13" ht="18" customHeight="1">
      <c r="A58" s="141" t="s">
        <v>193</v>
      </c>
      <c r="B58" s="33"/>
      <c r="C58" s="121"/>
      <c r="D58" s="121"/>
      <c r="E58" s="121"/>
      <c r="F58" s="121"/>
      <c r="G58" s="122"/>
      <c r="H58" s="34"/>
      <c r="I58" s="34"/>
      <c r="J58" s="34"/>
      <c r="K58" s="34"/>
      <c r="L58" s="34"/>
      <c r="M58" s="34"/>
    </row>
    <row r="59" spans="1:13" ht="18" customHeight="1">
      <c r="A59" s="143" t="s">
        <v>194</v>
      </c>
      <c r="B59" s="33"/>
      <c r="C59" s="121"/>
      <c r="D59" s="121"/>
      <c r="E59" s="121"/>
      <c r="F59" s="207">
        <f>F161+F179</f>
        <v>0</v>
      </c>
      <c r="G59" s="121"/>
      <c r="H59" s="34"/>
      <c r="I59" s="34"/>
      <c r="J59" s="34"/>
      <c r="K59" s="34"/>
      <c r="L59" s="34"/>
      <c r="M59" s="34"/>
    </row>
    <row r="60" spans="1:13" ht="18" customHeight="1">
      <c r="A60" s="143" t="s">
        <v>195</v>
      </c>
      <c r="B60" s="33"/>
      <c r="C60" s="121"/>
      <c r="D60" s="121"/>
      <c r="E60" s="121"/>
      <c r="F60" s="207">
        <f>F162+F180</f>
        <v>0</v>
      </c>
      <c r="G60" s="121"/>
      <c r="H60" s="34"/>
      <c r="I60" s="34"/>
      <c r="J60" s="34"/>
      <c r="K60" s="34"/>
      <c r="L60" s="34"/>
      <c r="M60" s="34"/>
    </row>
    <row r="61" spans="1:13" ht="18" customHeight="1">
      <c r="A61" s="143" t="s">
        <v>196</v>
      </c>
      <c r="B61" s="33"/>
      <c r="C61" s="121"/>
      <c r="D61" s="121"/>
      <c r="E61" s="121"/>
      <c r="F61" s="207">
        <f>F163+F181</f>
        <v>0</v>
      </c>
      <c r="G61" s="121"/>
      <c r="H61" s="34"/>
      <c r="I61" s="34"/>
      <c r="J61" s="34"/>
      <c r="K61" s="34"/>
      <c r="L61" s="34"/>
      <c r="M61" s="34"/>
    </row>
    <row r="62" spans="1:13" ht="18" customHeight="1">
      <c r="A62" s="248" t="s">
        <v>387</v>
      </c>
      <c r="B62" s="248"/>
      <c r="C62" s="248"/>
      <c r="D62" s="248"/>
      <c r="E62" s="248"/>
      <c r="F62" s="213">
        <f>F59+F60-F61</f>
        <v>0</v>
      </c>
      <c r="G62" s="121"/>
      <c r="H62" s="34"/>
      <c r="I62" s="34"/>
      <c r="J62" s="34"/>
      <c r="K62" s="34"/>
      <c r="L62" s="34"/>
      <c r="M62" s="34"/>
    </row>
    <row r="63" spans="1:13" ht="18" customHeight="1" thickBot="1">
      <c r="A63" s="249" t="s">
        <v>198</v>
      </c>
      <c r="B63" s="249"/>
      <c r="C63" s="249"/>
      <c r="D63" s="249"/>
      <c r="E63" s="249"/>
      <c r="F63" s="249"/>
      <c r="G63" s="214">
        <f>G57+F62</f>
        <v>14628070.439999983</v>
      </c>
      <c r="H63" s="34"/>
      <c r="I63" s="34"/>
      <c r="J63" s="34"/>
      <c r="K63" s="34"/>
      <c r="L63" s="34"/>
      <c r="M63" s="34"/>
    </row>
    <row r="64" spans="1:7" ht="12.95" customHeight="1">
      <c r="A64" s="87"/>
      <c r="B64" s="87"/>
      <c r="C64" s="87"/>
      <c r="D64" s="87"/>
      <c r="E64" s="87"/>
      <c r="F64" s="87"/>
      <c r="G64" s="103"/>
    </row>
    <row r="65" spans="1:7" ht="12.95" customHeight="1">
      <c r="A65" s="87"/>
      <c r="B65" s="87"/>
      <c r="C65" s="87"/>
      <c r="D65" s="87"/>
      <c r="E65" s="87"/>
      <c r="F65" s="87"/>
      <c r="G65" s="103"/>
    </row>
    <row r="66" spans="1:132" s="2" customFormat="1" ht="21" customHeight="1">
      <c r="A66" s="102" t="s">
        <v>199</v>
      </c>
      <c r="B66" s="129"/>
      <c r="C66" s="103"/>
      <c r="D66" s="103"/>
      <c r="E66" s="103"/>
      <c r="F66" s="103"/>
      <c r="G66" s="103"/>
      <c r="H66" s="104"/>
      <c r="I66" s="104"/>
      <c r="J66" s="103"/>
      <c r="K66" s="104"/>
      <c r="L66" s="104"/>
      <c r="M66" s="103"/>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row>
    <row r="67" spans="1:132" s="2" customFormat="1" ht="12.95" customHeight="1">
      <c r="A67" s="102"/>
      <c r="B67" s="129"/>
      <c r="C67" s="103"/>
      <c r="D67" s="103"/>
      <c r="E67" s="103"/>
      <c r="F67" s="103"/>
      <c r="G67" s="103"/>
      <c r="H67" s="104"/>
      <c r="I67" s="104"/>
      <c r="J67" s="103"/>
      <c r="K67" s="104"/>
      <c r="L67" s="104"/>
      <c r="M67" s="103"/>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row>
    <row r="68" spans="1:132" s="2" customFormat="1" ht="18" customHeight="1" thickBot="1">
      <c r="A68" s="115"/>
      <c r="B68" s="129"/>
      <c r="C68" s="194">
        <f>M1</f>
        <v>1995</v>
      </c>
      <c r="D68" s="103"/>
      <c r="E68" s="103"/>
      <c r="F68" s="103"/>
      <c r="G68" s="194">
        <f>M1</f>
        <v>1995</v>
      </c>
      <c r="H68" s="104"/>
      <c r="I68" s="104"/>
      <c r="J68" s="103"/>
      <c r="K68" s="104"/>
      <c r="L68" s="104"/>
      <c r="M68" s="103"/>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row>
    <row r="69" spans="1:132" s="146" customFormat="1" ht="33" customHeight="1">
      <c r="A69" s="247" t="s">
        <v>200</v>
      </c>
      <c r="B69" s="247"/>
      <c r="C69" s="247"/>
      <c r="D69" s="126"/>
      <c r="E69" s="247" t="s">
        <v>402</v>
      </c>
      <c r="F69" s="247"/>
      <c r="G69" s="247"/>
      <c r="H69" s="128"/>
      <c r="I69" s="128"/>
      <c r="J69" s="126"/>
      <c r="K69" s="128"/>
      <c r="L69" s="128"/>
      <c r="M69" s="126"/>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row>
    <row r="70" spans="1:7" s="34" customFormat="1" ht="18" customHeight="1">
      <c r="A70" s="237" t="s">
        <v>382</v>
      </c>
      <c r="B70" s="237"/>
      <c r="C70" s="66">
        <f>IF(I24="    --","    --",I24/100)</f>
        <v>0.826086695919466</v>
      </c>
      <c r="E70" s="33" t="s">
        <v>202</v>
      </c>
      <c r="F70" s="33"/>
      <c r="G70" s="67">
        <f>G42/M5</f>
        <v>95.52102351463107</v>
      </c>
    </row>
    <row r="71" spans="1:7" s="34" customFormat="1" ht="18" customHeight="1">
      <c r="A71" s="237" t="s">
        <v>383</v>
      </c>
      <c r="B71" s="237"/>
      <c r="C71" s="66">
        <f>IF(K24="    --","    --",K24/100)</f>
        <v>0.8756617787344791</v>
      </c>
      <c r="E71" s="33" t="s">
        <v>203</v>
      </c>
      <c r="F71" s="33"/>
      <c r="G71" s="66">
        <f>IF(SUM(G33:G37)=0,"    --",(G18+G23)/SUM(G33:G37))</f>
        <v>0.008203291370923103</v>
      </c>
    </row>
    <row r="72" spans="1:10" s="34" customFormat="1" ht="18" customHeight="1">
      <c r="A72" s="237" t="s">
        <v>204</v>
      </c>
      <c r="B72" s="237"/>
      <c r="C72" s="67">
        <f>G24/M5</f>
        <v>91.8358149730904</v>
      </c>
      <c r="E72" s="33" t="s">
        <v>205</v>
      </c>
      <c r="F72" s="33"/>
      <c r="G72" s="67">
        <f>(G18+G23)/M5</f>
        <v>0.5532891763769898</v>
      </c>
      <c r="H72" s="33"/>
      <c r="I72" s="33"/>
      <c r="J72" s="33"/>
    </row>
    <row r="73" spans="1:10" s="34" customFormat="1" ht="18" customHeight="1">
      <c r="A73" s="237" t="s">
        <v>206</v>
      </c>
      <c r="B73" s="237"/>
      <c r="C73" s="67">
        <f>(G20+G21)/M5</f>
        <v>30.766357173286345</v>
      </c>
      <c r="E73" s="33" t="s">
        <v>207</v>
      </c>
      <c r="F73" s="33"/>
      <c r="G73" s="66">
        <f>G63/E24</f>
        <v>0.033149395391156855</v>
      </c>
      <c r="H73" s="33"/>
      <c r="I73" s="33"/>
      <c r="J73" s="33"/>
    </row>
    <row r="74" spans="1:10" s="34" customFormat="1" ht="18" customHeight="1">
      <c r="A74" s="237" t="s">
        <v>208</v>
      </c>
      <c r="B74" s="237"/>
      <c r="C74" s="66">
        <f>SUM(G20+G21)/G24</f>
        <v>0.33501479986105054</v>
      </c>
      <c r="E74" s="33" t="s">
        <v>209</v>
      </c>
      <c r="F74" s="33"/>
      <c r="G74" s="67">
        <f>(G33+G34+G35)/M5</f>
        <v>17.42006919179997</v>
      </c>
      <c r="H74" s="33"/>
      <c r="I74" s="33"/>
      <c r="J74" s="33"/>
    </row>
    <row r="75" spans="1:10" s="34" customFormat="1" ht="18" customHeight="1">
      <c r="A75" s="237" t="s">
        <v>210</v>
      </c>
      <c r="B75" s="237"/>
      <c r="C75" s="68" t="str">
        <f>(INT(L24/G24*365)&amp;" días")</f>
        <v>45 días</v>
      </c>
      <c r="D75" s="33"/>
      <c r="E75" s="33" t="s">
        <v>211</v>
      </c>
      <c r="F75" s="33"/>
      <c r="G75" s="67">
        <f>G53</f>
        <v>-1276567.1700000167</v>
      </c>
      <c r="H75" s="33"/>
      <c r="I75" s="33"/>
      <c r="J75" s="33"/>
    </row>
    <row r="76" spans="1:7" s="34" customFormat="1" ht="18" customHeight="1">
      <c r="A76" s="237" t="s">
        <v>384</v>
      </c>
      <c r="B76" s="237"/>
      <c r="C76" s="66">
        <f>IF(I42="    --","    --",I42/100)</f>
        <v>0.8592360913396645</v>
      </c>
      <c r="D76" s="33"/>
      <c r="E76" s="33" t="s">
        <v>212</v>
      </c>
      <c r="F76" s="33"/>
      <c r="G76" s="66">
        <f>IF(SUM(E33:E37)=0,"    --",SUM(E16:E19)/SUM(E33:E37))</f>
        <v>0.9361025152799066</v>
      </c>
    </row>
    <row r="77" spans="1:7" s="34" customFormat="1" ht="18" customHeight="1">
      <c r="A77" s="237" t="s">
        <v>385</v>
      </c>
      <c r="B77" s="237"/>
      <c r="C77" s="66">
        <f>IF(K42="    --","    --",K42/100)</f>
        <v>0.7107164137371087</v>
      </c>
      <c r="E77" s="33" t="s">
        <v>213</v>
      </c>
      <c r="F77" s="33"/>
      <c r="G77" s="66">
        <f>E16/E24</f>
        <v>0.4553108274680623</v>
      </c>
    </row>
    <row r="78" spans="1:7" s="34" customFormat="1" ht="18" customHeight="1">
      <c r="A78" s="237" t="s">
        <v>214</v>
      </c>
      <c r="B78" s="237"/>
      <c r="C78" s="66">
        <f>IF(G42=0,"    --",1-(G41/G42))</f>
        <v>0.9578787413072051</v>
      </c>
      <c r="E78" s="33" t="s">
        <v>215</v>
      </c>
      <c r="F78" s="33"/>
      <c r="G78" s="66">
        <f>IF((E19+E21)=0,"    --",(E36+E39)/(E19+E21))</f>
        <v>68.38460668176758</v>
      </c>
    </row>
    <row r="79" spans="1:7" s="34" customFormat="1" ht="18" customHeight="1">
      <c r="A79" s="237" t="s">
        <v>216</v>
      </c>
      <c r="B79" s="237"/>
      <c r="C79" s="68" t="str">
        <f>IF(G42=0,"    --",INT(M42/G42*365)&amp;" días")</f>
        <v>105 días</v>
      </c>
      <c r="E79" s="33" t="s">
        <v>217</v>
      </c>
      <c r="F79" s="33"/>
      <c r="G79" s="66">
        <f>IF((G18+G23)=0,"    --",((G33+G34+G35+G37)-(G16+G17+G18))/(G18+G23))</f>
        <v>-76.62780552504097</v>
      </c>
    </row>
    <row r="80" spans="1:7" s="34" customFormat="1" ht="18" customHeight="1" thickBot="1">
      <c r="A80" s="250" t="s">
        <v>218</v>
      </c>
      <c r="B80" s="250"/>
      <c r="C80" s="147">
        <f>G63/M5</f>
        <v>3.6852085339828307</v>
      </c>
      <c r="E80" s="71" t="s">
        <v>219</v>
      </c>
      <c r="F80" s="71"/>
      <c r="G80" s="72">
        <f>IF(G42=0,"    --",SUM(G33:G35)/G42)</f>
        <v>0.18236895450698054</v>
      </c>
    </row>
    <row r="81" ht="12.95" customHeight="1">
      <c r="A81" s="3"/>
    </row>
    <row r="82" s="34" customFormat="1" ht="18" customHeight="1">
      <c r="A82" s="33" t="s">
        <v>220</v>
      </c>
    </row>
    <row r="83" ht="12.95" customHeight="1">
      <c r="A83" s="3"/>
    </row>
    <row r="84" ht="18" customHeight="1">
      <c r="A84" s="63" t="s">
        <v>424</v>
      </c>
    </row>
    <row r="85" ht="18" customHeight="1">
      <c r="A85" s="33"/>
    </row>
    <row r="86" ht="12.95" customHeight="1" hidden="1">
      <c r="A86" s="3"/>
    </row>
    <row r="87" ht="12.95" customHeight="1" hidden="1" thickBot="1">
      <c r="A87" s="3"/>
    </row>
    <row r="88" spans="1:10" ht="12.95" customHeight="1" hidden="1">
      <c r="A88" s="3"/>
      <c r="B88" s="232" t="s">
        <v>262</v>
      </c>
      <c r="C88" s="235" t="s">
        <v>223</v>
      </c>
      <c r="D88" s="235"/>
      <c r="E88" s="235"/>
      <c r="F88" s="235" t="s">
        <v>224</v>
      </c>
      <c r="G88" s="235" t="s">
        <v>225</v>
      </c>
      <c r="H88" s="235" t="s">
        <v>226</v>
      </c>
      <c r="I88" s="235" t="s">
        <v>227</v>
      </c>
      <c r="J88" s="230" t="s">
        <v>228</v>
      </c>
    </row>
    <row r="89" spans="1:10" ht="12.95" customHeight="1" hidden="1">
      <c r="A89" s="3"/>
      <c r="B89" s="233"/>
      <c r="C89" s="153" t="s">
        <v>229</v>
      </c>
      <c r="D89" s="153" t="s">
        <v>230</v>
      </c>
      <c r="E89" s="153" t="s">
        <v>231</v>
      </c>
      <c r="F89" s="236"/>
      <c r="G89" s="236"/>
      <c r="H89" s="236"/>
      <c r="I89" s="236"/>
      <c r="J89" s="231"/>
    </row>
    <row r="90" spans="1:10" ht="12.95" customHeight="1" hidden="1">
      <c r="A90" s="3"/>
      <c r="B90" s="234"/>
      <c r="C90" s="157" t="s">
        <v>232</v>
      </c>
      <c r="D90" s="157" t="s">
        <v>233</v>
      </c>
      <c r="E90" s="157" t="s">
        <v>234</v>
      </c>
      <c r="F90" s="158" t="s">
        <v>235</v>
      </c>
      <c r="G90" s="158" t="s">
        <v>236</v>
      </c>
      <c r="H90" s="158" t="s">
        <v>237</v>
      </c>
      <c r="I90" s="158" t="s">
        <v>238</v>
      </c>
      <c r="J90" s="159" t="s">
        <v>239</v>
      </c>
    </row>
    <row r="91" spans="1:10" ht="12.95" customHeight="1" hidden="1">
      <c r="A91" s="3"/>
      <c r="B91" s="160" t="s">
        <v>240</v>
      </c>
      <c r="C91" s="121">
        <v>0</v>
      </c>
      <c r="D91" s="121">
        <v>0</v>
      </c>
      <c r="E91" s="121">
        <v>0</v>
      </c>
      <c r="F91" s="121">
        <v>0</v>
      </c>
      <c r="G91" s="121">
        <v>0</v>
      </c>
      <c r="H91" s="121">
        <v>0</v>
      </c>
      <c r="I91" s="121">
        <v>0</v>
      </c>
      <c r="J91" s="121">
        <v>0</v>
      </c>
    </row>
    <row r="92" spans="1:10" ht="12.95" customHeight="1" hidden="1">
      <c r="A92" s="3"/>
      <c r="B92" s="162" t="s">
        <v>241</v>
      </c>
      <c r="C92" s="121">
        <v>0</v>
      </c>
      <c r="D92" s="121">
        <v>0</v>
      </c>
      <c r="E92" s="121">
        <v>0</v>
      </c>
      <c r="F92" s="121">
        <v>0</v>
      </c>
      <c r="G92" s="121">
        <v>0</v>
      </c>
      <c r="H92" s="121">
        <v>0</v>
      </c>
      <c r="I92" s="121">
        <v>0</v>
      </c>
      <c r="J92" s="121">
        <v>0</v>
      </c>
    </row>
    <row r="93" spans="1:10" ht="12.95" customHeight="1" hidden="1">
      <c r="A93" s="3"/>
      <c r="B93" s="162" t="s">
        <v>242</v>
      </c>
      <c r="C93" s="121">
        <v>0</v>
      </c>
      <c r="D93" s="121">
        <v>0</v>
      </c>
      <c r="E93" s="121">
        <v>0</v>
      </c>
      <c r="F93" s="121">
        <v>0</v>
      </c>
      <c r="G93" s="121">
        <v>0</v>
      </c>
      <c r="H93" s="121">
        <v>0</v>
      </c>
      <c r="I93" s="121">
        <v>0</v>
      </c>
      <c r="J93" s="121">
        <v>0</v>
      </c>
    </row>
    <row r="94" spans="1:10" ht="12.95" customHeight="1" hidden="1">
      <c r="A94" s="3"/>
      <c r="B94" s="162" t="s">
        <v>243</v>
      </c>
      <c r="C94" s="121">
        <v>0</v>
      </c>
      <c r="D94" s="121">
        <v>0</v>
      </c>
      <c r="E94" s="121">
        <v>0</v>
      </c>
      <c r="F94" s="121">
        <v>0</v>
      </c>
      <c r="G94" s="121">
        <v>0</v>
      </c>
      <c r="H94" s="121">
        <v>0</v>
      </c>
      <c r="I94" s="121">
        <v>0</v>
      </c>
      <c r="J94" s="121">
        <v>0</v>
      </c>
    </row>
    <row r="95" spans="1:10" ht="12.95" customHeight="1" hidden="1">
      <c r="A95" s="3"/>
      <c r="B95" s="162" t="s">
        <v>244</v>
      </c>
      <c r="C95" s="121">
        <v>0</v>
      </c>
      <c r="D95" s="121">
        <v>0</v>
      </c>
      <c r="E95" s="121">
        <v>0</v>
      </c>
      <c r="F95" s="121">
        <v>0</v>
      </c>
      <c r="G95" s="121">
        <v>0</v>
      </c>
      <c r="H95" s="121">
        <v>0</v>
      </c>
      <c r="I95" s="121">
        <v>0</v>
      </c>
      <c r="J95" s="121">
        <v>0</v>
      </c>
    </row>
    <row r="96" spans="1:10" ht="12.95" customHeight="1" hidden="1">
      <c r="A96" s="3"/>
      <c r="B96" s="162" t="s">
        <v>245</v>
      </c>
      <c r="C96" s="121">
        <v>0</v>
      </c>
      <c r="D96" s="121">
        <v>0</v>
      </c>
      <c r="E96" s="121">
        <v>0</v>
      </c>
      <c r="F96" s="121">
        <v>0</v>
      </c>
      <c r="G96" s="121">
        <v>0</v>
      </c>
      <c r="H96" s="121">
        <v>0</v>
      </c>
      <c r="I96" s="121">
        <v>0</v>
      </c>
      <c r="J96" s="121">
        <v>0</v>
      </c>
    </row>
    <row r="97" spans="1:10" ht="12.95" customHeight="1" hidden="1">
      <c r="A97" s="3"/>
      <c r="B97" s="162" t="s">
        <v>246</v>
      </c>
      <c r="C97" s="121">
        <v>0</v>
      </c>
      <c r="D97" s="121">
        <v>0</v>
      </c>
      <c r="E97" s="121">
        <v>0</v>
      </c>
      <c r="F97" s="121">
        <v>0</v>
      </c>
      <c r="G97" s="121">
        <v>0</v>
      </c>
      <c r="H97" s="121">
        <v>0</v>
      </c>
      <c r="I97" s="121">
        <v>0</v>
      </c>
      <c r="J97" s="121">
        <v>0</v>
      </c>
    </row>
    <row r="98" spans="1:10" ht="12.95" customHeight="1" hidden="1">
      <c r="A98" s="3"/>
      <c r="B98" s="162" t="s">
        <v>247</v>
      </c>
      <c r="C98" s="121">
        <v>0</v>
      </c>
      <c r="D98" s="121">
        <v>0</v>
      </c>
      <c r="E98" s="121">
        <v>0</v>
      </c>
      <c r="F98" s="121">
        <v>0</v>
      </c>
      <c r="G98" s="121">
        <v>0</v>
      </c>
      <c r="H98" s="121">
        <v>0</v>
      </c>
      <c r="I98" s="121">
        <v>0</v>
      </c>
      <c r="J98" s="121">
        <v>0</v>
      </c>
    </row>
    <row r="99" spans="1:10" ht="12.95" customHeight="1" hidden="1" thickBot="1">
      <c r="A99" s="3"/>
      <c r="B99" s="163" t="s">
        <v>248</v>
      </c>
      <c r="C99" s="121">
        <v>0</v>
      </c>
      <c r="D99" s="121">
        <v>0</v>
      </c>
      <c r="E99" s="121">
        <v>0</v>
      </c>
      <c r="F99" s="121">
        <v>0</v>
      </c>
      <c r="G99" s="121">
        <v>0</v>
      </c>
      <c r="H99" s="121">
        <v>0</v>
      </c>
      <c r="I99" s="121">
        <v>0</v>
      </c>
      <c r="J99" s="121">
        <v>0</v>
      </c>
    </row>
    <row r="100" ht="12.95" customHeight="1" hidden="1">
      <c r="A100" s="3"/>
    </row>
    <row r="101" ht="12.95" customHeight="1" hidden="1" thickBot="1">
      <c r="A101" s="3"/>
    </row>
    <row r="102" spans="1:9" ht="12.95" customHeight="1" hidden="1">
      <c r="A102" s="3"/>
      <c r="B102" s="149" t="s">
        <v>263</v>
      </c>
      <c r="C102" s="170" t="s">
        <v>249</v>
      </c>
      <c r="D102" s="171"/>
      <c r="E102" s="172"/>
      <c r="F102" s="150" t="s">
        <v>250</v>
      </c>
      <c r="G102" s="150" t="s">
        <v>251</v>
      </c>
      <c r="H102" s="150" t="s">
        <v>252</v>
      </c>
      <c r="I102" s="151" t="s">
        <v>253</v>
      </c>
    </row>
    <row r="103" spans="1:9" ht="12.95" customHeight="1" hidden="1">
      <c r="A103" s="3"/>
      <c r="B103" s="152"/>
      <c r="C103" s="153" t="s">
        <v>229</v>
      </c>
      <c r="D103" s="153" t="s">
        <v>230</v>
      </c>
      <c r="E103" s="153" t="s">
        <v>231</v>
      </c>
      <c r="F103" s="154"/>
      <c r="G103" s="154"/>
      <c r="H103" s="154"/>
      <c r="I103" s="155"/>
    </row>
    <row r="104" spans="1:9" ht="12.95" customHeight="1" hidden="1">
      <c r="A104" s="3"/>
      <c r="B104" s="156"/>
      <c r="C104" s="157" t="s">
        <v>232</v>
      </c>
      <c r="D104" s="157" t="s">
        <v>233</v>
      </c>
      <c r="E104" s="157" t="s">
        <v>234</v>
      </c>
      <c r="F104" s="158" t="s">
        <v>236</v>
      </c>
      <c r="G104" s="158" t="s">
        <v>235</v>
      </c>
      <c r="H104" s="158" t="s">
        <v>237</v>
      </c>
      <c r="I104" s="159" t="s">
        <v>238</v>
      </c>
    </row>
    <row r="105" spans="1:9" ht="12.95" customHeight="1" hidden="1">
      <c r="A105" s="3"/>
      <c r="B105" s="160" t="s">
        <v>254</v>
      </c>
      <c r="C105" s="121">
        <v>0</v>
      </c>
      <c r="D105" s="121">
        <v>0</v>
      </c>
      <c r="E105" s="121">
        <v>0</v>
      </c>
      <c r="F105" s="121">
        <v>0</v>
      </c>
      <c r="G105" s="121">
        <v>0</v>
      </c>
      <c r="H105" s="121">
        <v>0</v>
      </c>
      <c r="I105" s="121">
        <v>0</v>
      </c>
    </row>
    <row r="106" spans="1:9" ht="12.95" customHeight="1" hidden="1">
      <c r="A106" s="3"/>
      <c r="B106" s="162" t="s">
        <v>255</v>
      </c>
      <c r="C106" s="121">
        <v>0</v>
      </c>
      <c r="D106" s="121">
        <v>0</v>
      </c>
      <c r="E106" s="121">
        <v>0</v>
      </c>
      <c r="F106" s="121">
        <v>0</v>
      </c>
      <c r="G106" s="121">
        <v>0</v>
      </c>
      <c r="H106" s="121">
        <v>0</v>
      </c>
      <c r="I106" s="121">
        <v>0</v>
      </c>
    </row>
    <row r="107" spans="1:9" ht="12.95" customHeight="1" hidden="1">
      <c r="A107" s="3"/>
      <c r="B107" s="162" t="s">
        <v>256</v>
      </c>
      <c r="C107" s="121">
        <v>0</v>
      </c>
      <c r="D107" s="121">
        <v>0</v>
      </c>
      <c r="E107" s="121">
        <v>0</v>
      </c>
      <c r="F107" s="121">
        <v>0</v>
      </c>
      <c r="G107" s="121">
        <v>0</v>
      </c>
      <c r="H107" s="121">
        <v>0</v>
      </c>
      <c r="I107" s="121">
        <v>0</v>
      </c>
    </row>
    <row r="108" spans="1:9" ht="12.95" customHeight="1" hidden="1">
      <c r="A108" s="3"/>
      <c r="B108" s="162" t="s">
        <v>243</v>
      </c>
      <c r="C108" s="121">
        <v>0</v>
      </c>
      <c r="D108" s="121">
        <v>0</v>
      </c>
      <c r="E108" s="121">
        <v>0</v>
      </c>
      <c r="F108" s="121">
        <v>0</v>
      </c>
      <c r="G108" s="121">
        <v>0</v>
      </c>
      <c r="H108" s="121">
        <v>0</v>
      </c>
      <c r="I108" s="121">
        <v>0</v>
      </c>
    </row>
    <row r="109" spans="1:9" ht="12.95" customHeight="1" hidden="1">
      <c r="A109" s="3"/>
      <c r="B109" s="162" t="s">
        <v>257</v>
      </c>
      <c r="C109" s="121">
        <v>0</v>
      </c>
      <c r="D109" s="121">
        <v>0</v>
      </c>
      <c r="E109" s="121">
        <v>0</v>
      </c>
      <c r="F109" s="121">
        <v>0</v>
      </c>
      <c r="G109" s="121">
        <v>0</v>
      </c>
      <c r="H109" s="121">
        <v>0</v>
      </c>
      <c r="I109" s="121">
        <v>0</v>
      </c>
    </row>
    <row r="110" spans="1:9" ht="12.95" customHeight="1" hidden="1">
      <c r="A110" s="3"/>
      <c r="B110" s="162" t="s">
        <v>258</v>
      </c>
      <c r="C110" s="121">
        <v>0</v>
      </c>
      <c r="D110" s="121">
        <v>0</v>
      </c>
      <c r="E110" s="121">
        <v>0</v>
      </c>
      <c r="F110" s="121">
        <v>0</v>
      </c>
      <c r="G110" s="121">
        <v>0</v>
      </c>
      <c r="H110" s="121">
        <v>0</v>
      </c>
      <c r="I110" s="121">
        <v>0</v>
      </c>
    </row>
    <row r="111" spans="1:9" ht="12.95" customHeight="1" hidden="1">
      <c r="A111" s="3"/>
      <c r="B111" s="162" t="s">
        <v>245</v>
      </c>
      <c r="C111" s="121">
        <v>0</v>
      </c>
      <c r="D111" s="121">
        <v>0</v>
      </c>
      <c r="E111" s="121">
        <v>0</v>
      </c>
      <c r="F111" s="121">
        <v>0</v>
      </c>
      <c r="G111" s="121">
        <v>0</v>
      </c>
      <c r="H111" s="121">
        <v>0</v>
      </c>
      <c r="I111" s="121">
        <v>0</v>
      </c>
    </row>
    <row r="112" spans="1:9" ht="12.95" customHeight="1" hidden="1">
      <c r="A112" s="3"/>
      <c r="B112" s="162" t="s">
        <v>246</v>
      </c>
      <c r="C112" s="121">
        <v>0</v>
      </c>
      <c r="D112" s="121">
        <v>0</v>
      </c>
      <c r="E112" s="121">
        <v>0</v>
      </c>
      <c r="F112" s="121">
        <v>0</v>
      </c>
      <c r="G112" s="121">
        <v>0</v>
      </c>
      <c r="H112" s="121">
        <v>0</v>
      </c>
      <c r="I112" s="121">
        <v>0</v>
      </c>
    </row>
    <row r="113" spans="1:9" ht="12.95" customHeight="1" hidden="1">
      <c r="A113" s="3"/>
      <c r="B113" s="166" t="s">
        <v>247</v>
      </c>
      <c r="C113" s="121">
        <v>0</v>
      </c>
      <c r="D113" s="121">
        <v>0</v>
      </c>
      <c r="E113" s="121">
        <v>0</v>
      </c>
      <c r="F113" s="121">
        <v>0</v>
      </c>
      <c r="G113" s="121">
        <v>0</v>
      </c>
      <c r="H113" s="121">
        <v>0</v>
      </c>
      <c r="I113" s="121">
        <v>0</v>
      </c>
    </row>
    <row r="114" spans="1:9" ht="12.95" customHeight="1" hidden="1" thickBot="1">
      <c r="A114" s="3"/>
      <c r="B114" s="163" t="s">
        <v>259</v>
      </c>
      <c r="C114" s="121">
        <v>0</v>
      </c>
      <c r="D114" s="121">
        <v>0</v>
      </c>
      <c r="E114" s="121">
        <v>0</v>
      </c>
      <c r="F114" s="121">
        <v>0</v>
      </c>
      <c r="G114" s="121">
        <v>0</v>
      </c>
      <c r="H114" s="121">
        <v>0</v>
      </c>
      <c r="I114" s="121">
        <v>0</v>
      </c>
    </row>
    <row r="115" ht="12.95" customHeight="1" hidden="1">
      <c r="A115" s="3"/>
    </row>
    <row r="116" ht="12.95" customHeight="1" hidden="1">
      <c r="A116" s="3"/>
    </row>
    <row r="117" ht="12.95" customHeight="1" hidden="1" thickBot="1">
      <c r="A117" s="3"/>
    </row>
    <row r="118" spans="1:10" ht="15" customHeight="1" hidden="1">
      <c r="A118" s="3"/>
      <c r="B118" s="232" t="s">
        <v>260</v>
      </c>
      <c r="C118" s="235" t="s">
        <v>223</v>
      </c>
      <c r="D118" s="235"/>
      <c r="E118" s="235"/>
      <c r="F118" s="235" t="s">
        <v>224</v>
      </c>
      <c r="G118" s="235" t="s">
        <v>225</v>
      </c>
      <c r="H118" s="235" t="s">
        <v>226</v>
      </c>
      <c r="I118" s="235" t="s">
        <v>227</v>
      </c>
      <c r="J118" s="230" t="s">
        <v>228</v>
      </c>
    </row>
    <row r="119" spans="2:10" ht="12.75" hidden="1">
      <c r="B119" s="233"/>
      <c r="C119" s="153" t="s">
        <v>229</v>
      </c>
      <c r="D119" s="153" t="s">
        <v>230</v>
      </c>
      <c r="E119" s="153" t="s">
        <v>231</v>
      </c>
      <c r="F119" s="236"/>
      <c r="G119" s="236"/>
      <c r="H119" s="236"/>
      <c r="I119" s="236"/>
      <c r="J119" s="231"/>
    </row>
    <row r="120" spans="2:10" ht="12.75" hidden="1">
      <c r="B120" s="234"/>
      <c r="C120" s="157" t="s">
        <v>232</v>
      </c>
      <c r="D120" s="157" t="s">
        <v>233</v>
      </c>
      <c r="E120" s="157" t="s">
        <v>234</v>
      </c>
      <c r="F120" s="158" t="s">
        <v>235</v>
      </c>
      <c r="G120" s="158" t="s">
        <v>236</v>
      </c>
      <c r="H120" s="158" t="s">
        <v>237</v>
      </c>
      <c r="I120" s="158" t="s">
        <v>238</v>
      </c>
      <c r="J120" s="159" t="s">
        <v>239</v>
      </c>
    </row>
    <row r="121" spans="2:10" ht="12.75" hidden="1">
      <c r="B121" s="160" t="s">
        <v>240</v>
      </c>
      <c r="C121" s="161">
        <f>'[1]5100'!D5+'[2]5100'!D5+'[3]5100'!D5+'[4]5100'!D5</f>
        <v>200186226.11999997</v>
      </c>
      <c r="D121" s="161">
        <f>'[1]5100'!E5+'[2]5100'!E5+'[3]5100'!E5+'[4]5100'!E5</f>
        <v>732034.3099999999</v>
      </c>
      <c r="E121" s="161">
        <f>'[1]5100'!F5+'[2]5100'!F5+'[3]5100'!F5+'[4]5100'!F5</f>
        <v>200918260.42999998</v>
      </c>
      <c r="F121" s="161">
        <f>'[1]5100'!G5+'[2]5100'!G5+'[3]5100'!G5+'[4]5100'!G5</f>
        <v>195356278.84</v>
      </c>
      <c r="G121" s="161">
        <f>'[1]5100'!H5+'[2]5100'!H5+'[3]5100'!H5+'[4]5100'!H5</f>
        <v>190554714.61999997</v>
      </c>
      <c r="H121" s="161">
        <f>'[1]5100'!I5+'[2]5100'!I5+'[3]5100'!I5+'[4]5100'!I5</f>
        <v>10363545.81</v>
      </c>
      <c r="I121" s="161">
        <f>'[1]5100'!J5+'[2]5100'!J5+'[3]5100'!J5+'[4]5100'!J5</f>
        <v>186354382.96</v>
      </c>
      <c r="J121" s="161">
        <f>'[1]5100'!K5+'[2]5100'!K5+'[3]5100'!K5+'[4]5100'!K5</f>
        <v>4200331.67</v>
      </c>
    </row>
    <row r="122" spans="2:10" ht="12.75" hidden="1">
      <c r="B122" s="162" t="s">
        <v>241</v>
      </c>
      <c r="C122" s="161">
        <f>'[1]5100'!D6+'[2]5100'!D6+'[3]5100'!D6+'[4]5100'!D6</f>
        <v>42121263.46</v>
      </c>
      <c r="D122" s="161">
        <f>'[1]5100'!E6+'[2]5100'!E6+'[3]5100'!E6+'[4]5100'!E6</f>
        <v>6597466.040000001</v>
      </c>
      <c r="E122" s="161">
        <f>'[1]5100'!F6+'[2]5100'!F6+'[3]5100'!F6+'[4]5100'!F6</f>
        <v>48718729.480000004</v>
      </c>
      <c r="F122" s="161">
        <f>'[1]5100'!G6+'[2]5100'!G6+'[3]5100'!G6+'[4]5100'!G6</f>
        <v>47592986.33</v>
      </c>
      <c r="G122" s="161">
        <f>'[1]5100'!H6+'[2]5100'!H6+'[3]5100'!H6+'[4]5100'!H6</f>
        <v>47397897.839999996</v>
      </c>
      <c r="H122" s="161">
        <f>'[1]5100'!I6+'[2]5100'!I6+'[3]5100'!I6+'[4]5100'!I6</f>
        <v>1320831.64</v>
      </c>
      <c r="I122" s="161">
        <f>'[1]5100'!J6+'[2]5100'!J6+'[3]5100'!J6+'[4]5100'!J6</f>
        <v>43985218.85</v>
      </c>
      <c r="J122" s="161">
        <f>'[1]5100'!K6+'[2]5100'!K6+'[3]5100'!K6+'[4]5100'!K6</f>
        <v>3412679</v>
      </c>
    </row>
    <row r="123" spans="2:10" ht="12.75" hidden="1">
      <c r="B123" s="162" t="s">
        <v>242</v>
      </c>
      <c r="C123" s="161">
        <f>'[1]5100'!D7+'[2]5100'!D7+'[3]5100'!D7+'[4]5100'!D7</f>
        <v>342576.9</v>
      </c>
      <c r="D123" s="161">
        <f>'[1]5100'!E7+'[2]5100'!E7+'[3]5100'!E7+'[4]5100'!E7</f>
        <v>1860808.5</v>
      </c>
      <c r="E123" s="161">
        <f>'[1]5100'!F7+'[2]5100'!F7+'[3]5100'!F7+'[4]5100'!F7</f>
        <v>2203385.4</v>
      </c>
      <c r="F123" s="161">
        <f>'[1]5100'!G7+'[2]5100'!G7+'[3]5100'!G7+'[4]5100'!G7</f>
        <v>2196226.61</v>
      </c>
      <c r="G123" s="161">
        <f>'[1]5100'!H7+'[2]5100'!H7+'[3]5100'!H7+'[4]5100'!H7</f>
        <v>2196226.61</v>
      </c>
      <c r="H123" s="161">
        <f>'[1]5100'!I7+'[2]5100'!I7+'[3]5100'!I7+'[4]5100'!I7</f>
        <v>7158.78</v>
      </c>
      <c r="I123" s="161">
        <f>'[1]5100'!J7+'[2]5100'!J7+'[3]5100'!J7+'[4]5100'!J7</f>
        <v>2179495.33</v>
      </c>
      <c r="J123" s="161">
        <f>'[1]5100'!K7+'[2]5100'!K7+'[3]5100'!K7+'[4]5100'!K7</f>
        <v>16731.280000000002</v>
      </c>
    </row>
    <row r="124" spans="2:10" ht="12.75" hidden="1">
      <c r="B124" s="162" t="s">
        <v>243</v>
      </c>
      <c r="C124" s="161">
        <f>'[1]5100'!D8+'[2]5100'!D8+'[3]5100'!D8+'[4]5100'!D8</f>
        <v>1679167.7199999997</v>
      </c>
      <c r="D124" s="161">
        <f>'[1]5100'!E8+'[2]5100'!E8+'[3]5100'!E8+'[4]5100'!E8</f>
        <v>1057868.91</v>
      </c>
      <c r="E124" s="161">
        <f>'[1]5100'!F8+'[2]5100'!F8+'[3]5100'!F8+'[4]5100'!F8</f>
        <v>2737036.63</v>
      </c>
      <c r="F124" s="161">
        <f>'[1]5100'!G8+'[2]5100'!G8+'[3]5100'!G8+'[4]5100'!G8</f>
        <v>2281930.23</v>
      </c>
      <c r="G124" s="161">
        <f>'[1]5100'!H8+'[2]5100'!H8+'[3]5100'!H8+'[4]5100'!H8</f>
        <v>2194216.46</v>
      </c>
      <c r="H124" s="161">
        <f>'[1]5100'!I8+'[2]5100'!I8+'[3]5100'!I8+'[4]5100'!I8</f>
        <v>542820.16</v>
      </c>
      <c r="I124" s="161">
        <f>'[1]5100'!J8+'[2]5100'!J8+'[3]5100'!J8+'[4]5100'!J8</f>
        <v>1972123.89</v>
      </c>
      <c r="J124" s="161">
        <f>'[1]5100'!K8+'[2]5100'!K8+'[3]5100'!K8+'[4]5100'!K8</f>
        <v>222092.57</v>
      </c>
    </row>
    <row r="125" spans="2:10" ht="12.75" hidden="1">
      <c r="B125" s="162" t="s">
        <v>244</v>
      </c>
      <c r="C125" s="161">
        <f>'[1]5100'!D9+'[2]5100'!D9+'[3]5100'!D9+'[4]5100'!D9</f>
        <v>81991454.33</v>
      </c>
      <c r="D125" s="161">
        <f>'[1]5100'!E9+'[2]5100'!E9+'[3]5100'!E9+'[4]5100'!E9</f>
        <v>103240237.02999999</v>
      </c>
      <c r="E125" s="161">
        <f>'[1]5100'!F9+'[2]5100'!F9+'[3]5100'!F9+'[4]5100'!F9</f>
        <v>185231691.36</v>
      </c>
      <c r="F125" s="161">
        <f>'[1]5100'!G9+'[2]5100'!G9+'[3]5100'!G9+'[4]5100'!G9</f>
        <v>153439645.06</v>
      </c>
      <c r="G125" s="161">
        <f>'[1]5100'!H9+'[2]5100'!H9+'[3]5100'!H9+'[4]5100'!H9</f>
        <v>121924106.28999999</v>
      </c>
      <c r="H125" s="161">
        <f>'[1]5100'!I9+'[2]5100'!I9+'[3]5100'!I9+'[4]5100'!I9</f>
        <v>63307585.08</v>
      </c>
      <c r="I125" s="161">
        <f>'[1]5100'!J9+'[2]5100'!J9+'[3]5100'!J9+'[4]5100'!J9</f>
        <v>84450534.12</v>
      </c>
      <c r="J125" s="161">
        <f>'[1]5100'!K9+'[2]5100'!K9+'[3]5100'!K9+'[4]5100'!K9</f>
        <v>37473572.16</v>
      </c>
    </row>
    <row r="126" spans="2:10" ht="12.75" hidden="1">
      <c r="B126" s="162" t="s">
        <v>245</v>
      </c>
      <c r="C126" s="161">
        <f>'[1]5100'!D10+'[2]5100'!D10+'[3]5100'!D10+'[4]5100'!D10</f>
        <v>1202024.21</v>
      </c>
      <c r="D126" s="161">
        <f>'[1]5100'!E10+'[2]5100'!E10+'[3]5100'!E10+'[4]5100'!E10</f>
        <v>199902.64</v>
      </c>
      <c r="E126" s="161">
        <f>'[1]5100'!F10+'[2]5100'!F10+'[3]5100'!F10+'[4]5100'!F10</f>
        <v>1401926.85</v>
      </c>
      <c r="F126" s="161">
        <f>'[1]5100'!G10+'[2]5100'!G10+'[3]5100'!G10+'[4]5100'!G10</f>
        <v>199902.64</v>
      </c>
      <c r="G126" s="161">
        <f>'[1]5100'!H10+'[2]5100'!H10+'[3]5100'!H10+'[4]5100'!H10</f>
        <v>199902.64</v>
      </c>
      <c r="H126" s="161">
        <f>'[1]5100'!I10+'[2]5100'!I10+'[3]5100'!I10+'[4]5100'!I10</f>
        <v>1202024.21</v>
      </c>
      <c r="I126" s="161">
        <f>'[1]5100'!J10+'[2]5100'!J10+'[3]5100'!J10+'[4]5100'!J10</f>
        <v>199902.64</v>
      </c>
      <c r="J126" s="161">
        <f>'[1]5100'!K10+'[2]5100'!K10+'[3]5100'!K10+'[4]5100'!K10</f>
        <v>0</v>
      </c>
    </row>
    <row r="127" spans="2:10" ht="12.75" hidden="1">
      <c r="B127" s="162" t="s">
        <v>246</v>
      </c>
      <c r="C127" s="161">
        <f>'[1]5100'!D11+'[2]5100'!D11+'[3]5100'!D11+'[4]5100'!D11</f>
        <v>66111.33</v>
      </c>
      <c r="D127" s="161">
        <f>'[1]5100'!E11+'[2]5100'!E11+'[3]5100'!E11+'[4]5100'!E11</f>
        <v>0</v>
      </c>
      <c r="E127" s="161">
        <f>'[1]5100'!F11+'[2]5100'!F11+'[3]5100'!F11+'[4]5100'!F11</f>
        <v>66111.33</v>
      </c>
      <c r="F127" s="161">
        <f>'[1]5100'!G11+'[2]5100'!G11+'[3]5100'!G11+'[4]5100'!G11</f>
        <v>66111.33</v>
      </c>
      <c r="G127" s="161">
        <f>'[1]5100'!H11+'[2]5100'!H11+'[3]5100'!H11+'[4]5100'!H11</f>
        <v>66111.33</v>
      </c>
      <c r="H127" s="161">
        <f>'[1]5100'!I11+'[2]5100'!I11+'[3]5100'!I11+'[4]5100'!I11</f>
        <v>0</v>
      </c>
      <c r="I127" s="161">
        <f>'[1]5100'!J11+'[2]5100'!J11+'[3]5100'!J11+'[4]5100'!J11</f>
        <v>66111.33</v>
      </c>
      <c r="J127" s="161">
        <f>'[1]5100'!K11+'[2]5100'!K11+'[3]5100'!K11+'[4]5100'!K11</f>
        <v>0</v>
      </c>
    </row>
    <row r="128" spans="2:10" ht="12.75" hidden="1">
      <c r="B128" s="162" t="s">
        <v>247</v>
      </c>
      <c r="C128" s="161">
        <f>'[1]5100'!D12+'[2]5100'!D12+'[3]5100'!D12+'[4]5100'!D12</f>
        <v>0</v>
      </c>
      <c r="D128" s="161">
        <f>'[1]5100'!E12+'[2]5100'!E12+'[3]5100'!E12+'[4]5100'!E12</f>
        <v>0</v>
      </c>
      <c r="E128" s="161">
        <f>'[1]5100'!F12+'[2]5100'!F12+'[3]5100'!F12+'[4]5100'!F12</f>
        <v>0</v>
      </c>
      <c r="F128" s="161">
        <f>'[1]5100'!G12+'[2]5100'!G12+'[3]5100'!G12+'[4]5100'!G12</f>
        <v>0</v>
      </c>
      <c r="G128" s="161">
        <f>'[1]5100'!H12+'[2]5100'!H12+'[3]5100'!H12+'[4]5100'!H12</f>
        <v>0</v>
      </c>
      <c r="H128" s="161">
        <f>'[1]5100'!I12+'[2]5100'!I12+'[3]5100'!I12+'[4]5100'!I12</f>
        <v>0</v>
      </c>
      <c r="I128" s="161">
        <f>'[1]5100'!J12+'[2]5100'!J12+'[3]5100'!J12+'[4]5100'!J12</f>
        <v>0</v>
      </c>
      <c r="J128" s="161">
        <f>'[1]5100'!K12+'[2]5100'!K12+'[3]5100'!K12+'[4]5100'!K12</f>
        <v>0</v>
      </c>
    </row>
    <row r="129" spans="2:10" ht="13.5" hidden="1" thickBot="1">
      <c r="B129" s="163" t="s">
        <v>248</v>
      </c>
      <c r="C129" s="164">
        <f aca="true" t="shared" si="17" ref="C129:J129">SUM(C121:C128)</f>
        <v>327588824.06999993</v>
      </c>
      <c r="D129" s="164">
        <f t="shared" si="17"/>
        <v>113688317.42999999</v>
      </c>
      <c r="E129" s="164">
        <f t="shared" si="17"/>
        <v>441277141.47999996</v>
      </c>
      <c r="F129" s="164">
        <f>SUM(F111:F118)</f>
        <v>0</v>
      </c>
      <c r="G129" s="164">
        <f t="shared" si="17"/>
        <v>364533175.78999996</v>
      </c>
      <c r="H129" s="164">
        <f t="shared" si="17"/>
        <v>76743965.67999999</v>
      </c>
      <c r="I129" s="164">
        <f t="shared" si="17"/>
        <v>319207769.11999995</v>
      </c>
      <c r="J129" s="165">
        <f t="shared" si="17"/>
        <v>45325406.68</v>
      </c>
    </row>
    <row r="130" ht="12.75" hidden="1"/>
    <row r="131" ht="13.5" hidden="1" thickBot="1"/>
    <row r="132" spans="2:9" ht="76.5" hidden="1">
      <c r="B132" s="149" t="s">
        <v>261</v>
      </c>
      <c r="C132" s="170" t="s">
        <v>249</v>
      </c>
      <c r="D132" s="171"/>
      <c r="E132" s="172"/>
      <c r="F132" s="150" t="s">
        <v>250</v>
      </c>
      <c r="G132" s="150" t="s">
        <v>251</v>
      </c>
      <c r="H132" s="150" t="s">
        <v>252</v>
      </c>
      <c r="I132" s="151" t="s">
        <v>253</v>
      </c>
    </row>
    <row r="133" spans="2:9" ht="12.75" hidden="1">
      <c r="B133" s="152"/>
      <c r="C133" s="153" t="s">
        <v>229</v>
      </c>
      <c r="D133" s="153" t="s">
        <v>230</v>
      </c>
      <c r="E133" s="153" t="s">
        <v>231</v>
      </c>
      <c r="F133" s="154"/>
      <c r="G133" s="154"/>
      <c r="H133" s="154"/>
      <c r="I133" s="155"/>
    </row>
    <row r="134" spans="2:9" ht="12.75" hidden="1">
      <c r="B134" s="156"/>
      <c r="C134" s="157" t="s">
        <v>232</v>
      </c>
      <c r="D134" s="157" t="s">
        <v>233</v>
      </c>
      <c r="E134" s="157" t="s">
        <v>234</v>
      </c>
      <c r="F134" s="158" t="s">
        <v>236</v>
      </c>
      <c r="G134" s="158" t="s">
        <v>235</v>
      </c>
      <c r="H134" s="158" t="s">
        <v>237</v>
      </c>
      <c r="I134" s="159" t="s">
        <v>238</v>
      </c>
    </row>
    <row r="135" spans="2:9" ht="12.75" hidden="1">
      <c r="B135" s="160" t="s">
        <v>254</v>
      </c>
      <c r="C135" s="161">
        <f>'[1]5100'!D19+'[2]5100'!D19+'[3]5100'!D19+'[4]5100'!D19</f>
        <v>0</v>
      </c>
      <c r="D135" s="161">
        <f>'[1]5100'!E19+'[2]5100'!E19+'[3]5100'!E19+'[4]5100'!E19</f>
        <v>0</v>
      </c>
      <c r="E135" s="161">
        <f>'[1]5100'!F19+'[2]5100'!F19+'[3]5100'!F19+'[4]5100'!F19</f>
        <v>0</v>
      </c>
      <c r="F135" s="161">
        <f>'[1]5100'!G19+'[2]5100'!G19+'[3]5100'!G19+'[4]5100'!G19</f>
        <v>0</v>
      </c>
      <c r="G135" s="161">
        <f>'[1]5100'!H19+'[2]5100'!H19+'[3]5100'!H19+'[4]5100'!H19</f>
        <v>0</v>
      </c>
      <c r="H135" s="161">
        <f>'[1]5100'!I19+'[2]5100'!I19+'[3]5100'!I19+'[4]5100'!I19</f>
        <v>0</v>
      </c>
      <c r="I135" s="161">
        <f>'[1]5100'!J19+'[2]5100'!J19+'[3]5100'!J19+'[4]5100'!J19</f>
        <v>0</v>
      </c>
    </row>
    <row r="136" spans="2:9" ht="12.75" hidden="1">
      <c r="B136" s="162" t="s">
        <v>255</v>
      </c>
      <c r="C136" s="161">
        <f>'[1]5100'!D20+'[2]5100'!D20+'[3]5100'!D20+'[4]5100'!D20</f>
        <v>0</v>
      </c>
      <c r="D136" s="161">
        <f>'[1]5100'!E20+'[2]5100'!E20+'[3]5100'!E20+'[4]5100'!E20</f>
        <v>0</v>
      </c>
      <c r="E136" s="161">
        <f>'[1]5100'!F20+'[2]5100'!F20+'[3]5100'!F20+'[4]5100'!F20</f>
        <v>0</v>
      </c>
      <c r="F136" s="161">
        <f>'[1]5100'!G20+'[2]5100'!G20+'[3]5100'!G20+'[4]5100'!G20</f>
        <v>0</v>
      </c>
      <c r="G136" s="161">
        <f>'[1]5100'!H20+'[2]5100'!H20+'[3]5100'!H20+'[4]5100'!H20</f>
        <v>0</v>
      </c>
      <c r="H136" s="161">
        <f>'[1]5100'!I20+'[2]5100'!I20+'[3]5100'!I20+'[4]5100'!I20</f>
        <v>0</v>
      </c>
      <c r="I136" s="161">
        <f>'[1]5100'!J20+'[2]5100'!J20+'[3]5100'!J20+'[4]5100'!J20</f>
        <v>0</v>
      </c>
    </row>
    <row r="137" spans="2:9" ht="12.75" hidden="1">
      <c r="B137" s="162" t="s">
        <v>256</v>
      </c>
      <c r="C137" s="161">
        <f>'[1]5100'!D21+'[2]5100'!D21+'[3]5100'!D21+'[4]5100'!D21</f>
        <v>72154545.09</v>
      </c>
      <c r="D137" s="161">
        <f>'[1]5100'!E21+'[2]5100'!E21+'[3]5100'!E21+'[4]5100'!E21</f>
        <v>4116308.8499999996</v>
      </c>
      <c r="E137" s="161">
        <f>'[1]5100'!F21+'[2]5100'!F21+'[3]5100'!F21+'[4]5100'!F21</f>
        <v>76270853.92999999</v>
      </c>
      <c r="F137" s="161">
        <f>'[1]5100'!G21+'[2]5100'!G21+'[3]5100'!G21+'[4]5100'!G21</f>
        <v>69147240.07</v>
      </c>
      <c r="G137" s="161">
        <f>'[1]5100'!H21+'[2]5100'!H21+'[3]5100'!H21+'[4]5100'!H21</f>
        <v>63503808.510000005</v>
      </c>
      <c r="H137" s="161">
        <f>'[1]5100'!I21+'[2]5100'!I21+'[3]5100'!I21+'[4]5100'!I21</f>
        <v>5426320.959999999</v>
      </c>
      <c r="I137" s="161">
        <f>'[1]5100'!J21+'[2]5100'!J21+'[3]5100'!J21+'[4]5100'!J21</f>
        <v>5643431.56</v>
      </c>
    </row>
    <row r="138" spans="2:9" ht="12.75" hidden="1">
      <c r="B138" s="162" t="s">
        <v>243</v>
      </c>
      <c r="C138" s="161">
        <f>'[1]5100'!D22+'[2]5100'!D22+'[3]5100'!D22+'[4]5100'!D22</f>
        <v>191160890.68</v>
      </c>
      <c r="D138" s="161">
        <f>'[1]5100'!E22+'[2]5100'!E22+'[3]5100'!E22+'[4]5100'!E22</f>
        <v>2599733.2199999997</v>
      </c>
      <c r="E138" s="161">
        <f>'[1]5100'!F22+'[2]5100'!F22+'[3]5100'!F22+'[4]5100'!F22</f>
        <v>193760623.9</v>
      </c>
      <c r="F138" s="161">
        <f>'[1]5100'!G22+'[2]5100'!G22+'[3]5100'!G22+'[4]5100'!G22</f>
        <v>195868238.63000003</v>
      </c>
      <c r="G138" s="161">
        <f>'[1]5100'!H22+'[2]5100'!H22+'[3]5100'!H22+'[4]5100'!H22</f>
        <v>162421536.03</v>
      </c>
      <c r="H138" s="161">
        <f>'[1]5100'!I22+'[2]5100'!I22+'[3]5100'!I22+'[4]5100'!I22</f>
        <v>0</v>
      </c>
      <c r="I138" s="161">
        <f>'[1]5100'!J22+'[2]5100'!J22+'[3]5100'!J22+'[4]5100'!J22</f>
        <v>33446702.599999998</v>
      </c>
    </row>
    <row r="139" spans="2:9" ht="12.75" hidden="1">
      <c r="B139" s="162" t="s">
        <v>257</v>
      </c>
      <c r="C139" s="161">
        <f>'[1]5100'!D23+'[2]5100'!D23+'[3]5100'!D23+'[4]5100'!D23</f>
        <v>1676222.77</v>
      </c>
      <c r="D139" s="161">
        <f>'[1]5100'!E23+'[2]5100'!E23+'[3]5100'!E23+'[4]5100'!E23</f>
        <v>246928.08000000002</v>
      </c>
      <c r="E139" s="161">
        <f>'[1]5100'!F23+'[2]5100'!F23+'[3]5100'!F23+'[4]5100'!F23</f>
        <v>1923150.84</v>
      </c>
      <c r="F139" s="161">
        <f>'[1]5100'!G23+'[2]5100'!G23+'[3]5100'!G23+'[4]5100'!G23</f>
        <v>2709573.44</v>
      </c>
      <c r="G139" s="161">
        <f>'[1]5100'!H23+'[2]5100'!H23+'[3]5100'!H23+'[4]5100'!H23</f>
        <v>2060161.9200000002</v>
      </c>
      <c r="H139" s="161">
        <f>'[1]5100'!I23+'[2]5100'!I23+'[3]5100'!I23+'[4]5100'!I23</f>
        <v>0</v>
      </c>
      <c r="I139" s="161">
        <f>'[1]5100'!J23+'[2]5100'!J23+'[3]5100'!J23+'[4]5100'!J23</f>
        <v>649411.5</v>
      </c>
    </row>
    <row r="140" spans="2:9" ht="12.75" hidden="1">
      <c r="B140" s="162" t="s">
        <v>258</v>
      </c>
      <c r="C140" s="161">
        <f>'[1]5100'!D24+'[2]5100'!D24+'[3]5100'!D24+'[4]5100'!D24</f>
        <v>0</v>
      </c>
      <c r="D140" s="161">
        <f>'[1]5100'!E24+'[2]5100'!E24+'[3]5100'!E24+'[4]5100'!E24</f>
        <v>0</v>
      </c>
      <c r="E140" s="161">
        <f>'[1]5100'!F24+'[2]5100'!F24+'[3]5100'!F24+'[4]5100'!F24</f>
        <v>0</v>
      </c>
      <c r="F140" s="161">
        <f>'[1]5100'!G24+'[2]5100'!G24+'[3]5100'!G24+'[4]5100'!G24</f>
        <v>0</v>
      </c>
      <c r="G140" s="161">
        <f>'[1]5100'!H24+'[2]5100'!H24+'[3]5100'!H24+'[4]5100'!H24</f>
        <v>0</v>
      </c>
      <c r="H140" s="161">
        <f>'[1]5100'!I24+'[2]5100'!I24+'[3]5100'!I24+'[4]5100'!I24</f>
        <v>0</v>
      </c>
      <c r="I140" s="161">
        <f>'[1]5100'!J24+'[2]5100'!J24+'[3]5100'!J24+'[4]5100'!J24</f>
        <v>0</v>
      </c>
    </row>
    <row r="141" spans="2:9" ht="12.75" hidden="1">
      <c r="B141" s="162" t="s">
        <v>245</v>
      </c>
      <c r="C141" s="161">
        <f>'[1]5100'!D25+'[2]5100'!D25+'[3]5100'!D25+'[4]5100'!D25</f>
        <v>51143948.41</v>
      </c>
      <c r="D141" s="161">
        <f>'[1]5100'!E25+'[2]5100'!E25+'[3]5100'!E25+'[4]5100'!E25</f>
        <v>38136817.339999996</v>
      </c>
      <c r="E141" s="161">
        <f>'[1]5100'!F25+'[2]5100'!F25+'[3]5100'!F25+'[4]5100'!F25</f>
        <v>89280765.75</v>
      </c>
      <c r="F141" s="161">
        <f>'[1]5100'!G25+'[2]5100'!G25+'[3]5100'!G25+'[4]5100'!G25</f>
        <v>95465445.18</v>
      </c>
      <c r="G141" s="161">
        <f>'[1]5100'!H25+'[2]5100'!H25+'[3]5100'!H25+'[4]5100'!H25</f>
        <v>25519865.77</v>
      </c>
      <c r="H141" s="161">
        <f>'[1]5100'!I25+'[2]5100'!I25+'[3]5100'!I25+'[4]5100'!I25</f>
        <v>0</v>
      </c>
      <c r="I141" s="161">
        <f>'[1]5100'!J25+'[2]5100'!J25+'[3]5100'!J25+'[4]5100'!J25</f>
        <v>69945579.41</v>
      </c>
    </row>
    <row r="142" spans="2:9" ht="12.75" hidden="1">
      <c r="B142" s="162" t="s">
        <v>246</v>
      </c>
      <c r="C142" s="161">
        <f>'[1]5100'!D26+'[2]5100'!D26+'[3]5100'!D26+'[4]5100'!D26</f>
        <v>10192053.94</v>
      </c>
      <c r="D142" s="161">
        <f>'[1]5100'!E26+'[2]5100'!E26+'[3]5100'!E26+'[4]5100'!E26</f>
        <v>35393669.41</v>
      </c>
      <c r="E142" s="161">
        <f>'[1]5100'!F26+'[2]5100'!F26+'[3]5100'!F26+'[4]5100'!F26</f>
        <v>45585723.35</v>
      </c>
      <c r="F142" s="161">
        <f>'[1]5100'!G26+'[2]5100'!G26+'[3]5100'!G26+'[4]5100'!G26</f>
        <v>0</v>
      </c>
      <c r="G142" s="161">
        <f>'[1]5100'!H26+'[2]5100'!H26+'[3]5100'!H26+'[4]5100'!H26</f>
        <v>0</v>
      </c>
      <c r="H142" s="161">
        <f>'[1]5100'!I26+'[2]5100'!I26+'[3]5100'!I26+'[4]5100'!I26</f>
        <v>0</v>
      </c>
      <c r="I142" s="161">
        <f>'[1]5100'!J26+'[2]5100'!J26+'[3]5100'!J26+'[4]5100'!J26</f>
        <v>0</v>
      </c>
    </row>
    <row r="143" spans="2:9" ht="12.75" hidden="1">
      <c r="B143" s="166" t="s">
        <v>247</v>
      </c>
      <c r="C143" s="161">
        <f>'[1]5100'!D27+'[2]5100'!D27+'[3]5100'!D27+'[4]5100'!D27</f>
        <v>1261163.2</v>
      </c>
      <c r="D143" s="161">
        <f>'[1]5100'!E27+'[2]5100'!E27+'[3]5100'!E27+'[4]5100'!E27</f>
        <v>33194860.53</v>
      </c>
      <c r="E143" s="161">
        <f>'[1]5100'!F27+'[2]5100'!F27+'[3]5100'!F27+'[4]5100'!F27</f>
        <v>34456023.730000004</v>
      </c>
      <c r="F143" s="161">
        <f>'[1]5100'!G27+'[2]5100'!G27+'[3]5100'!G27+'[4]5100'!G27</f>
        <v>15970748.94</v>
      </c>
      <c r="G143" s="161">
        <f>'[1]5100'!H27+'[2]5100'!H27+'[3]5100'!H27+'[4]5100'!H27</f>
        <v>15970748.94</v>
      </c>
      <c r="H143" s="161">
        <f>'[1]5100'!I27+'[2]5100'!I27+'[3]5100'!I27+'[4]5100'!I27</f>
        <v>0</v>
      </c>
      <c r="I143" s="161">
        <f>'[1]5100'!J27+'[2]5100'!J27+'[3]5100'!J27+'[4]5100'!J27</f>
        <v>0</v>
      </c>
    </row>
    <row r="144" spans="2:9" ht="13.5" hidden="1" thickBot="1">
      <c r="B144" s="163" t="s">
        <v>259</v>
      </c>
      <c r="C144" s="164">
        <f aca="true" t="shared" si="18" ref="C144:I144">SUM(C135:C143)</f>
        <v>327588824.09000003</v>
      </c>
      <c r="D144" s="164">
        <f t="shared" si="18"/>
        <v>113688317.42999999</v>
      </c>
      <c r="E144" s="164">
        <f t="shared" si="18"/>
        <v>441277141.5</v>
      </c>
      <c r="F144" s="164">
        <f t="shared" si="18"/>
        <v>379161246.26000005</v>
      </c>
      <c r="G144" s="164">
        <f t="shared" si="18"/>
        <v>269476121.17</v>
      </c>
      <c r="H144" s="164">
        <f t="shared" si="18"/>
        <v>5426320.959999999</v>
      </c>
      <c r="I144" s="165">
        <f t="shared" si="18"/>
        <v>109685125.07</v>
      </c>
    </row>
    <row r="145" ht="12.75" hidden="1"/>
    <row r="146" ht="12.75" hidden="1"/>
    <row r="147" ht="12.75" hidden="1"/>
    <row r="148" ht="13.5" hidden="1" thickBot="1"/>
    <row r="149" spans="1:7" ht="15.75" hidden="1">
      <c r="A149" s="241" t="s">
        <v>264</v>
      </c>
      <c r="B149" s="241"/>
      <c r="C149" s="27"/>
      <c r="D149" s="132"/>
      <c r="E149" s="132"/>
      <c r="F149" s="133"/>
      <c r="G149" s="132"/>
    </row>
    <row r="150" spans="1:7" ht="47.25" hidden="1">
      <c r="A150" s="239"/>
      <c r="B150" s="239"/>
      <c r="C150" s="239"/>
      <c r="D150" s="135" t="s">
        <v>174</v>
      </c>
      <c r="E150" s="135" t="s">
        <v>175</v>
      </c>
      <c r="F150" s="33"/>
      <c r="G150" s="134" t="s">
        <v>176</v>
      </c>
    </row>
    <row r="151" spans="1:7" ht="15.75" hidden="1">
      <c r="A151" s="245" t="s">
        <v>12</v>
      </c>
      <c r="B151" s="245"/>
      <c r="C151" s="245"/>
      <c r="D151" s="135" t="s">
        <v>177</v>
      </c>
      <c r="E151" s="135" t="s">
        <v>178</v>
      </c>
      <c r="F151" s="136" t="s">
        <v>179</v>
      </c>
      <c r="G151" s="135" t="s">
        <v>180</v>
      </c>
    </row>
    <row r="152" spans="1:7" ht="15.75" hidden="1">
      <c r="A152" s="137" t="s">
        <v>181</v>
      </c>
      <c r="B152" s="114" t="s">
        <v>182</v>
      </c>
      <c r="C152" s="122"/>
      <c r="D152" s="122">
        <v>0</v>
      </c>
      <c r="E152" s="122">
        <v>0</v>
      </c>
      <c r="F152" s="122"/>
      <c r="G152" s="122">
        <f aca="true" t="shared" si="19" ref="G152:G158">D152-E152</f>
        <v>0</v>
      </c>
    </row>
    <row r="153" spans="1:7" ht="15.75" hidden="1">
      <c r="A153" s="44" t="s">
        <v>183</v>
      </c>
      <c r="B153" s="33" t="s">
        <v>184</v>
      </c>
      <c r="C153" s="121"/>
      <c r="D153" s="122">
        <v>0</v>
      </c>
      <c r="E153" s="122">
        <v>0</v>
      </c>
      <c r="F153" s="121"/>
      <c r="G153" s="121">
        <f t="shared" si="19"/>
        <v>0</v>
      </c>
    </row>
    <row r="154" spans="1:7" ht="15.75" hidden="1">
      <c r="A154" s="44" t="s">
        <v>185</v>
      </c>
      <c r="B154" s="33" t="s">
        <v>186</v>
      </c>
      <c r="C154" s="121"/>
      <c r="D154" s="122">
        <v>0</v>
      </c>
      <c r="E154" s="122">
        <v>0</v>
      </c>
      <c r="F154" s="121"/>
      <c r="G154" s="121">
        <f t="shared" si="19"/>
        <v>0</v>
      </c>
    </row>
    <row r="155" spans="1:7" ht="15.75" hidden="1">
      <c r="A155" s="138" t="s">
        <v>187</v>
      </c>
      <c r="B155" s="138"/>
      <c r="C155" s="139"/>
      <c r="D155" s="122">
        <v>0</v>
      </c>
      <c r="E155" s="122">
        <v>0</v>
      </c>
      <c r="F155" s="121"/>
      <c r="G155" s="139">
        <f t="shared" si="19"/>
        <v>0</v>
      </c>
    </row>
    <row r="156" spans="1:7" ht="15.75" hidden="1">
      <c r="A156" s="44" t="s">
        <v>188</v>
      </c>
      <c r="B156" s="33" t="s">
        <v>160</v>
      </c>
      <c r="C156" s="121"/>
      <c r="D156" s="122">
        <v>0</v>
      </c>
      <c r="E156" s="122">
        <v>0</v>
      </c>
      <c r="F156" s="121"/>
      <c r="G156" s="121">
        <f t="shared" si="19"/>
        <v>0</v>
      </c>
    </row>
    <row r="157" spans="1:7" ht="15.75" hidden="1">
      <c r="A157" s="44" t="s">
        <v>189</v>
      </c>
      <c r="B157" s="33" t="s">
        <v>190</v>
      </c>
      <c r="C157" s="121"/>
      <c r="D157" s="122">
        <v>0</v>
      </c>
      <c r="E157" s="122">
        <v>0</v>
      </c>
      <c r="F157" s="121"/>
      <c r="G157" s="121">
        <f t="shared" si="19"/>
        <v>0</v>
      </c>
    </row>
    <row r="158" spans="1:7" ht="15.75" hidden="1">
      <c r="A158" s="114" t="s">
        <v>191</v>
      </c>
      <c r="B158" s="114"/>
      <c r="C158" s="122"/>
      <c r="D158" s="122">
        <v>0</v>
      </c>
      <c r="E158" s="122">
        <v>0</v>
      </c>
      <c r="F158" s="121"/>
      <c r="G158" s="139">
        <f t="shared" si="19"/>
        <v>0</v>
      </c>
    </row>
    <row r="159" spans="1:10" ht="15.75" hidden="1">
      <c r="A159" s="248" t="s">
        <v>192</v>
      </c>
      <c r="B159" s="248"/>
      <c r="C159" s="248"/>
      <c r="D159" s="122">
        <v>0</v>
      </c>
      <c r="E159" s="122">
        <v>0</v>
      </c>
      <c r="F159" s="121"/>
      <c r="G159" s="140">
        <f>G155+G158</f>
        <v>0</v>
      </c>
      <c r="J159" s="26"/>
    </row>
    <row r="160" spans="1:10" ht="15.75" hidden="1">
      <c r="A160" s="141" t="s">
        <v>193</v>
      </c>
      <c r="B160" s="33"/>
      <c r="C160" s="121"/>
      <c r="D160" s="121"/>
      <c r="E160" s="121"/>
      <c r="F160" s="121"/>
      <c r="G160" s="122"/>
      <c r="J160" s="26"/>
    </row>
    <row r="161" spans="1:7" ht="15.75" hidden="1">
      <c r="A161" s="143" t="s">
        <v>194</v>
      </c>
      <c r="B161" s="33"/>
      <c r="C161" s="121"/>
      <c r="D161" s="121"/>
      <c r="E161" s="121"/>
      <c r="F161" s="121">
        <v>0</v>
      </c>
      <c r="G161" s="121"/>
    </row>
    <row r="162" spans="1:7" ht="15.75" hidden="1">
      <c r="A162" s="143" t="s">
        <v>195</v>
      </c>
      <c r="B162" s="33"/>
      <c r="C162" s="121"/>
      <c r="D162" s="121"/>
      <c r="E162" s="121"/>
      <c r="F162" s="121">
        <v>0</v>
      </c>
      <c r="G162" s="121"/>
    </row>
    <row r="163" spans="1:7" ht="15.75" hidden="1">
      <c r="A163" s="143" t="s">
        <v>196</v>
      </c>
      <c r="B163" s="33"/>
      <c r="C163" s="121"/>
      <c r="D163" s="121"/>
      <c r="E163" s="121"/>
      <c r="F163" s="121">
        <v>0</v>
      </c>
      <c r="G163" s="121"/>
    </row>
    <row r="164" spans="1:7" ht="15.75" hidden="1">
      <c r="A164" s="248" t="s">
        <v>197</v>
      </c>
      <c r="B164" s="248"/>
      <c r="C164" s="248"/>
      <c r="D164" s="248"/>
      <c r="E164" s="248"/>
      <c r="F164" s="144">
        <f>F161+F162-F163</f>
        <v>0</v>
      </c>
      <c r="G164" s="121"/>
    </row>
    <row r="165" spans="1:7" ht="16.5" hidden="1" thickBot="1">
      <c r="A165" s="249" t="s">
        <v>198</v>
      </c>
      <c r="B165" s="249"/>
      <c r="C165" s="249"/>
      <c r="D165" s="249"/>
      <c r="E165" s="249"/>
      <c r="F165" s="249"/>
      <c r="G165" s="145">
        <f>G159+F164</f>
        <v>0</v>
      </c>
    </row>
    <row r="166" ht="13.5" hidden="1" thickBot="1"/>
    <row r="167" spans="1:7" ht="15.75" hidden="1">
      <c r="A167" s="241" t="s">
        <v>265</v>
      </c>
      <c r="B167" s="241"/>
      <c r="C167" s="27"/>
      <c r="D167" s="132"/>
      <c r="E167" s="132"/>
      <c r="F167" s="133"/>
      <c r="G167" s="132"/>
    </row>
    <row r="168" spans="1:7" ht="47.25" hidden="1">
      <c r="A168" s="239"/>
      <c r="B168" s="239"/>
      <c r="C168" s="239"/>
      <c r="D168" s="135" t="s">
        <v>174</v>
      </c>
      <c r="E168" s="135" t="s">
        <v>175</v>
      </c>
      <c r="F168" s="33"/>
      <c r="G168" s="134" t="s">
        <v>176</v>
      </c>
    </row>
    <row r="169" spans="1:7" ht="15.75" hidden="1">
      <c r="A169" s="245" t="s">
        <v>12</v>
      </c>
      <c r="B169" s="245"/>
      <c r="C169" s="245"/>
      <c r="D169" s="135" t="s">
        <v>177</v>
      </c>
      <c r="E169" s="135" t="s">
        <v>178</v>
      </c>
      <c r="F169" s="136" t="s">
        <v>179</v>
      </c>
      <c r="G169" s="135" t="s">
        <v>180</v>
      </c>
    </row>
    <row r="170" spans="1:7" ht="15.75" hidden="1">
      <c r="A170" s="137" t="s">
        <v>181</v>
      </c>
      <c r="B170" s="114" t="s">
        <v>182</v>
      </c>
      <c r="C170" s="122"/>
      <c r="D170" s="122">
        <f>'[1]5120'!$D$4+'[2]5120'!$D$4+'[3]5120'!$D$4+'[4]5120'!$D$4-D171</f>
        <v>267725052.13</v>
      </c>
      <c r="E170" s="122">
        <f>'[1]5120'!$E$4+'[2]5120'!$E$4+'[3]5120'!$E$4+'[4]5120'!$E$4-E171</f>
        <v>242343055.55</v>
      </c>
      <c r="F170" s="122"/>
      <c r="G170" s="122">
        <f aca="true" t="shared" si="20" ref="G170:G176">D170-E170</f>
        <v>25381996.579999983</v>
      </c>
    </row>
    <row r="171" spans="1:7" ht="15.75" hidden="1">
      <c r="A171" s="44" t="s">
        <v>183</v>
      </c>
      <c r="B171" s="33" t="s">
        <v>184</v>
      </c>
      <c r="C171" s="121"/>
      <c r="D171" s="121">
        <f>'[1]5100'!$G$24+'[1]5100'!$G$25+'[2]5100'!$G$24+'[2]5100'!$G$25+'[3]5100'!$G$24+'[3]5100'!$G$25+'[4]5100'!$G$24+'[4]5100'!$G$25</f>
        <v>95465445.18</v>
      </c>
      <c r="E171" s="121">
        <f>'[1]5100'!$H$9+'[1]5100'!$H$10+'[2]5100'!$H$9+'[2]5100'!$H$10+'[3]5100'!$H$9+'[3]5100'!$H$10+'[4]5100'!$H$9+'[4]5100'!$H$10</f>
        <v>122124008.93</v>
      </c>
      <c r="F171" s="121"/>
      <c r="G171" s="121">
        <f t="shared" si="20"/>
        <v>-26658563.75</v>
      </c>
    </row>
    <row r="172" spans="1:7" ht="15.75" hidden="1">
      <c r="A172" s="44" t="s">
        <v>185</v>
      </c>
      <c r="B172" s="33" t="s">
        <v>186</v>
      </c>
      <c r="C172" s="121"/>
      <c r="D172" s="121">
        <f>'[1]5120'!$D$6+'[2]5120'!$D$6+'[3]5120'!$D$6+'[4]5120'!$D$6</f>
        <v>0</v>
      </c>
      <c r="E172" s="121">
        <f>'[1]5120'!$E$6+'[2]5120'!$E$6+'[3]5120'!$E$6+'[4]5120'!$E$6</f>
        <v>0</v>
      </c>
      <c r="F172" s="121"/>
      <c r="G172" s="121">
        <f t="shared" si="20"/>
        <v>0</v>
      </c>
    </row>
    <row r="173" spans="1:7" ht="15.75" hidden="1">
      <c r="A173" s="138" t="s">
        <v>187</v>
      </c>
      <c r="B173" s="138"/>
      <c r="C173" s="139"/>
      <c r="D173" s="139">
        <f>D170+D171+D172</f>
        <v>363190497.31</v>
      </c>
      <c r="E173" s="139">
        <f>E170+E171+E172</f>
        <v>364467064.48</v>
      </c>
      <c r="F173" s="121"/>
      <c r="G173" s="139">
        <f t="shared" si="20"/>
        <v>-1276567.1700000167</v>
      </c>
    </row>
    <row r="174" spans="1:7" ht="15.75" hidden="1">
      <c r="A174" s="44" t="s">
        <v>188</v>
      </c>
      <c r="B174" s="33" t="s">
        <v>160</v>
      </c>
      <c r="C174" s="121"/>
      <c r="D174" s="121">
        <f>'[1]5120'!$D$5+'[2]5120'!$D$5+'[3]5120'!$D$5+'[4]5120'!$D$5</f>
        <v>0</v>
      </c>
      <c r="E174" s="121">
        <f>'[1]5120'!$E$5+'[2]5120'!$E$5+'[3]5120'!$E$5+'[4]5120'!$E$5</f>
        <v>66111.33</v>
      </c>
      <c r="F174" s="121"/>
      <c r="G174" s="121">
        <f t="shared" si="20"/>
        <v>-66111.33</v>
      </c>
    </row>
    <row r="175" spans="1:7" ht="15.75" hidden="1">
      <c r="A175" s="44" t="s">
        <v>189</v>
      </c>
      <c r="B175" s="33" t="s">
        <v>190</v>
      </c>
      <c r="C175" s="121"/>
      <c r="D175" s="121">
        <f>'[1]5120'!$D$8+'[2]5120'!$D$8+'[3]5120'!$D$8+'[4]5120'!$D$8</f>
        <v>15970748.94</v>
      </c>
      <c r="E175" s="121">
        <f>'[1]5120'!$E$8+'[2]5120'!$E$8+'[3]5120'!$E$8+'[4]5120'!$E$8</f>
        <v>0</v>
      </c>
      <c r="F175" s="121"/>
      <c r="G175" s="121">
        <f t="shared" si="20"/>
        <v>15970748.94</v>
      </c>
    </row>
    <row r="176" spans="1:7" ht="15.75" hidden="1">
      <c r="A176" s="114" t="s">
        <v>191</v>
      </c>
      <c r="B176" s="114"/>
      <c r="C176" s="122"/>
      <c r="D176" s="122">
        <f>D174+D175</f>
        <v>15970748.94</v>
      </c>
      <c r="E176" s="122">
        <f>E174+E175</f>
        <v>66111.33</v>
      </c>
      <c r="F176" s="121"/>
      <c r="G176" s="139">
        <f t="shared" si="20"/>
        <v>15904637.61</v>
      </c>
    </row>
    <row r="177" spans="1:10" ht="15.75" hidden="1">
      <c r="A177" s="248" t="s">
        <v>192</v>
      </c>
      <c r="B177" s="248"/>
      <c r="C177" s="248"/>
      <c r="D177" s="140">
        <f>D173+D176</f>
        <v>379161246.25</v>
      </c>
      <c r="E177" s="140">
        <f>E173+E176</f>
        <v>364533175.81</v>
      </c>
      <c r="F177" s="121"/>
      <c r="G177" s="140">
        <f>G173+G176</f>
        <v>14628070.439999983</v>
      </c>
      <c r="J177" s="26"/>
    </row>
    <row r="178" spans="1:7" ht="15.75" hidden="1">
      <c r="A178" s="141" t="s">
        <v>193</v>
      </c>
      <c r="B178" s="33"/>
      <c r="C178" s="121"/>
      <c r="D178" s="121"/>
      <c r="E178" s="121"/>
      <c r="F178" s="121"/>
      <c r="G178" s="122"/>
    </row>
    <row r="179" spans="1:7" ht="15.75" hidden="1">
      <c r="A179" s="143" t="s">
        <v>194</v>
      </c>
      <c r="B179" s="33"/>
      <c r="C179" s="121"/>
      <c r="D179" s="121"/>
      <c r="E179" s="121"/>
      <c r="F179" s="121">
        <f>'[1]5120'!$F$10+'[2]5120'!$F$10+'[3]5120'!$F$10+'[4]5120'!$F$10</f>
        <v>0</v>
      </c>
      <c r="G179" s="121"/>
    </row>
    <row r="180" spans="1:7" ht="15.75" hidden="1">
      <c r="A180" s="143" t="s">
        <v>195</v>
      </c>
      <c r="B180" s="33"/>
      <c r="C180" s="121"/>
      <c r="D180" s="121"/>
      <c r="E180" s="121"/>
      <c r="F180" s="121">
        <f>'[1]5120'!$F$12+'[2]5120'!$F$12+'[3]5120'!$F$12+'[4]5120'!$F$12</f>
        <v>0</v>
      </c>
      <c r="G180" s="121"/>
    </row>
    <row r="181" spans="1:7" ht="15.75" hidden="1">
      <c r="A181" s="143" t="s">
        <v>196</v>
      </c>
      <c r="B181" s="33"/>
      <c r="C181" s="121"/>
      <c r="D181" s="121"/>
      <c r="E181" s="121"/>
      <c r="F181" s="121">
        <f>'[1]5120'!$F$11+'[2]5120'!$F$11+'[3]5120'!$F$11+'[4]5120'!$F$11</f>
        <v>0</v>
      </c>
      <c r="G181" s="121"/>
    </row>
    <row r="182" spans="1:7" ht="15.75" hidden="1">
      <c r="A182" s="248" t="s">
        <v>197</v>
      </c>
      <c r="B182" s="248"/>
      <c r="C182" s="248"/>
      <c r="D182" s="248"/>
      <c r="E182" s="248"/>
      <c r="F182" s="144">
        <f>F179+F180-F181</f>
        <v>0</v>
      </c>
      <c r="G182" s="121"/>
    </row>
    <row r="183" spans="1:7" ht="16.5" hidden="1" thickBot="1">
      <c r="A183" s="249" t="s">
        <v>198</v>
      </c>
      <c r="B183" s="249"/>
      <c r="C183" s="249"/>
      <c r="D183" s="249"/>
      <c r="E183" s="249"/>
      <c r="F183" s="249"/>
      <c r="G183" s="145">
        <f>G177+F182</f>
        <v>14628070.439999983</v>
      </c>
    </row>
    <row r="184" ht="12.75" hidden="1"/>
  </sheetData>
  <sheetProtection selectLockedCells="1" selectUnlockedCells="1"/>
  <mergeCells count="56">
    <mergeCell ref="A182:E182"/>
    <mergeCell ref="A183:F183"/>
    <mergeCell ref="A47:C47"/>
    <mergeCell ref="A149:B149"/>
    <mergeCell ref="A150:C150"/>
    <mergeCell ref="A151:C151"/>
    <mergeCell ref="A159:C159"/>
    <mergeCell ref="A164:E164"/>
    <mergeCell ref="A177:C177"/>
    <mergeCell ref="A169:C169"/>
    <mergeCell ref="A80:B80"/>
    <mergeCell ref="A79:B79"/>
    <mergeCell ref="B118:B120"/>
    <mergeCell ref="C118:E118"/>
    <mergeCell ref="A165:F165"/>
    <mergeCell ref="A167:B167"/>
    <mergeCell ref="A168:C168"/>
    <mergeCell ref="A49:C49"/>
    <mergeCell ref="A29:B29"/>
    <mergeCell ref="A78:B78"/>
    <mergeCell ref="A32:B32"/>
    <mergeCell ref="A69:C69"/>
    <mergeCell ref="A62:E62"/>
    <mergeCell ref="A77:B77"/>
    <mergeCell ref="A57:C57"/>
    <mergeCell ref="A63:F63"/>
    <mergeCell ref="A71:B71"/>
    <mergeCell ref="E69:G69"/>
    <mergeCell ref="G30:M30"/>
    <mergeCell ref="C30:E30"/>
    <mergeCell ref="A76:B76"/>
    <mergeCell ref="A72:B72"/>
    <mergeCell ref="F12:M12"/>
    <mergeCell ref="A12:B12"/>
    <mergeCell ref="A24:B24"/>
    <mergeCell ref="F29:M29"/>
    <mergeCell ref="F13:M13"/>
    <mergeCell ref="C13:E13"/>
    <mergeCell ref="A73:B73"/>
    <mergeCell ref="A74:B74"/>
    <mergeCell ref="A42:B42"/>
    <mergeCell ref="A48:C48"/>
    <mergeCell ref="A75:B75"/>
    <mergeCell ref="A70:B70"/>
    <mergeCell ref="J118:J119"/>
    <mergeCell ref="J88:J89"/>
    <mergeCell ref="B88:B90"/>
    <mergeCell ref="C88:E88"/>
    <mergeCell ref="F88:F89"/>
    <mergeCell ref="G88:G89"/>
    <mergeCell ref="H88:H89"/>
    <mergeCell ref="I88:I89"/>
    <mergeCell ref="F118:F119"/>
    <mergeCell ref="G118:G119"/>
    <mergeCell ref="H118:H119"/>
    <mergeCell ref="I118:I119"/>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96"/>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20.00390625" style="3" hidden="1" customWidth="1"/>
    <col min="14" max="14" width="21.28125" style="3" hidden="1" customWidth="1"/>
    <col min="15" max="15" width="20.00390625" style="3" hidden="1" customWidth="1"/>
    <col min="16" max="16384" width="11.421875" style="3" customWidth="1"/>
  </cols>
  <sheetData>
    <row r="1" spans="1:122" ht="60" customHeight="1">
      <c r="A1" s="5"/>
      <c r="B1" s="7"/>
      <c r="C1" s="7"/>
      <c r="D1" s="9"/>
      <c r="E1" s="9"/>
      <c r="F1" s="3"/>
      <c r="G1" s="9"/>
      <c r="H1" s="7" t="s">
        <v>7</v>
      </c>
      <c r="I1" s="8">
        <f>Balance!K1</f>
        <v>1995</v>
      </c>
      <c r="J1" s="3"/>
      <c r="K1" s="3"/>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row>
    <row r="2" spans="1:122" ht="12.95" customHeight="1" thickBot="1">
      <c r="A2" s="5"/>
      <c r="B2" s="6"/>
      <c r="C2" s="6"/>
      <c r="D2" s="9"/>
      <c r="E2" s="9"/>
      <c r="F2" s="9"/>
      <c r="G2" s="7"/>
      <c r="H2" s="92"/>
      <c r="I2" s="3"/>
      <c r="J2" s="3"/>
      <c r="K2" s="3"/>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row>
    <row r="3" spans="1:122" ht="33" customHeight="1">
      <c r="A3" s="75" t="str">
        <f>"                                            "&amp;"UNIVERSIDADES"</f>
        <v xml:space="preserve">                                            UNIVERSIDADES</v>
      </c>
      <c r="B3" s="10"/>
      <c r="C3" s="10"/>
      <c r="D3" s="10"/>
      <c r="E3" s="10"/>
      <c r="F3" s="10"/>
      <c r="G3" s="10"/>
      <c r="H3" s="93"/>
      <c r="I3" s="93"/>
      <c r="J3" s="3"/>
      <c r="K3" s="3"/>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row>
    <row r="4" spans="1:122" ht="19.5" customHeight="1">
      <c r="A4" s="14" t="str">
        <f>"AGREGADO"</f>
        <v>AGREGADO</v>
      </c>
      <c r="B4" s="79"/>
      <c r="C4" s="79"/>
      <c r="D4" s="79"/>
      <c r="E4" s="79"/>
      <c r="F4" s="79"/>
      <c r="G4" s="79"/>
      <c r="H4" s="54"/>
      <c r="I4" s="94"/>
      <c r="J4" s="3"/>
      <c r="K4" s="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row>
    <row r="5" spans="1:122" ht="18" customHeight="1" thickBot="1">
      <c r="A5" s="18"/>
      <c r="B5" s="47"/>
      <c r="C5" s="47"/>
      <c r="D5" s="95"/>
      <c r="E5" s="106"/>
      <c r="F5" s="106"/>
      <c r="G5" s="106"/>
      <c r="H5" s="76"/>
      <c r="I5" s="77"/>
      <c r="J5" s="3"/>
      <c r="K5" s="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row>
    <row r="6" spans="1:122" ht="15" customHeight="1">
      <c r="A6" s="96"/>
      <c r="B6" s="97"/>
      <c r="C6" s="97"/>
      <c r="D6" s="2"/>
      <c r="E6" s="2"/>
      <c r="F6" s="2"/>
      <c r="G6" s="2"/>
      <c r="H6" s="2"/>
      <c r="I6" s="97"/>
      <c r="J6" s="97"/>
      <c r="K6" s="97"/>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row>
    <row r="7" spans="1:122" ht="12.95" customHeight="1">
      <c r="A7" s="100"/>
      <c r="B7" s="100"/>
      <c r="C7" s="100"/>
      <c r="D7" s="100"/>
      <c r="E7" s="100"/>
      <c r="F7" s="100"/>
      <c r="G7" s="100"/>
      <c r="H7" s="100"/>
      <c r="I7" s="100"/>
      <c r="J7" s="100"/>
      <c r="K7" s="100"/>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row>
    <row r="8" spans="1:194" s="2" customFormat="1" ht="21" customHeight="1">
      <c r="A8" s="102" t="s">
        <v>431</v>
      </c>
      <c r="B8" s="100"/>
      <c r="C8" s="100"/>
      <c r="D8" s="100"/>
      <c r="E8" s="100"/>
      <c r="F8" s="101"/>
      <c r="G8" s="101"/>
      <c r="H8" s="101"/>
      <c r="I8" s="100"/>
      <c r="J8" s="100"/>
      <c r="K8" s="100"/>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row>
    <row r="9" spans="1:194" s="2" customFormat="1" ht="12.95" customHeight="1">
      <c r="A9" s="24"/>
      <c r="B9" s="100"/>
      <c r="C9" s="100"/>
      <c r="D9" s="100"/>
      <c r="E9" s="100"/>
      <c r="F9" s="101"/>
      <c r="G9" s="101"/>
      <c r="H9" s="101"/>
      <c r="I9" s="100"/>
      <c r="J9" s="100"/>
      <c r="K9" s="100"/>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row>
    <row r="10" spans="1:194" s="2" customFormat="1" ht="12.95" customHeight="1">
      <c r="A10" s="24"/>
      <c r="B10" s="100"/>
      <c r="C10" s="100"/>
      <c r="D10" s="100"/>
      <c r="E10" s="100"/>
      <c r="F10" s="101"/>
      <c r="G10" s="101"/>
      <c r="H10" s="101"/>
      <c r="I10" s="100"/>
      <c r="J10" s="100"/>
      <c r="K10" s="100"/>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row>
    <row r="11" spans="1:194" s="2" customFormat="1" ht="18" customHeight="1" thickBot="1">
      <c r="A11" s="48" t="s">
        <v>8</v>
      </c>
      <c r="B11" s="100"/>
      <c r="C11" s="100"/>
      <c r="D11" s="100"/>
      <c r="E11" s="100"/>
      <c r="F11" s="101"/>
      <c r="G11" s="101"/>
      <c r="H11" s="193">
        <f>I1</f>
        <v>1995</v>
      </c>
      <c r="I11" s="100"/>
      <c r="J11" s="100"/>
      <c r="K11" s="100"/>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row>
    <row r="12" spans="1:194" s="2" customFormat="1" ht="33" customHeight="1">
      <c r="A12" s="241" t="s">
        <v>362</v>
      </c>
      <c r="B12" s="241"/>
      <c r="C12" s="116"/>
      <c r="D12" s="117"/>
      <c r="E12" s="117"/>
      <c r="F12" s="173"/>
      <c r="G12" s="173"/>
      <c r="H12" s="173"/>
      <c r="I12" s="100"/>
      <c r="J12" s="100"/>
      <c r="K12" s="100"/>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row>
    <row r="13" spans="1:194" s="2" customFormat="1" ht="48" customHeight="1">
      <c r="A13" s="246" t="s">
        <v>138</v>
      </c>
      <c r="B13" s="246"/>
      <c r="C13" s="174" t="s">
        <v>266</v>
      </c>
      <c r="D13" s="174" t="s">
        <v>267</v>
      </c>
      <c r="E13" s="174" t="s">
        <v>268</v>
      </c>
      <c r="F13" s="174" t="s">
        <v>269</v>
      </c>
      <c r="G13" s="119" t="s">
        <v>142</v>
      </c>
      <c r="H13" s="174" t="s">
        <v>270</v>
      </c>
      <c r="I13" s="100"/>
      <c r="J13" s="100"/>
      <c r="K13" s="100"/>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row>
    <row r="14" spans="1:112" s="2" customFormat="1" ht="18" customHeight="1">
      <c r="A14" s="120" t="s">
        <v>147</v>
      </c>
      <c r="B14" s="33" t="s">
        <v>148</v>
      </c>
      <c r="C14" s="207">
        <f aca="true" t="shared" si="0" ref="C14:F21">C89+C138</f>
        <v>3078085.55</v>
      </c>
      <c r="D14" s="207">
        <f t="shared" si="0"/>
        <v>-41440.6</v>
      </c>
      <c r="E14" s="207">
        <f t="shared" si="0"/>
        <v>3036644.95</v>
      </c>
      <c r="F14" s="207">
        <f t="shared" si="0"/>
        <v>3036644.95</v>
      </c>
      <c r="G14" s="123">
        <f aca="true" t="shared" si="1" ref="G14:G22">IF(E14=0,"    --",F14/E14*100)</f>
        <v>100</v>
      </c>
      <c r="H14" s="207">
        <f aca="true" t="shared" si="2" ref="H14:H21">G89+G138</f>
        <v>0</v>
      </c>
      <c r="I14" s="100"/>
      <c r="J14" s="100"/>
      <c r="K14" s="100"/>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row>
    <row r="15" spans="1:112" s="2" customFormat="1" ht="18" customHeight="1">
      <c r="A15" s="120" t="s">
        <v>149</v>
      </c>
      <c r="B15" s="33" t="s">
        <v>150</v>
      </c>
      <c r="C15" s="207">
        <f t="shared" si="0"/>
        <v>3339850.8600000003</v>
      </c>
      <c r="D15" s="207">
        <f t="shared" si="0"/>
        <v>-225483.05</v>
      </c>
      <c r="E15" s="207">
        <f t="shared" si="0"/>
        <v>3114367.8</v>
      </c>
      <c r="F15" s="207">
        <f t="shared" si="0"/>
        <v>2949102.49</v>
      </c>
      <c r="G15" s="123">
        <f t="shared" si="1"/>
        <v>94.69345560277115</v>
      </c>
      <c r="H15" s="207">
        <f t="shared" si="2"/>
        <v>165265.31</v>
      </c>
      <c r="I15" s="100"/>
      <c r="J15" s="100"/>
      <c r="K15" s="100"/>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row>
    <row r="16" spans="1:112" s="2" customFormat="1" ht="18" customHeight="1">
      <c r="A16" s="120" t="s">
        <v>151</v>
      </c>
      <c r="B16" s="33" t="s">
        <v>152</v>
      </c>
      <c r="C16" s="207">
        <f t="shared" si="0"/>
        <v>189423.33</v>
      </c>
      <c r="D16" s="207">
        <f t="shared" si="0"/>
        <v>-40.83</v>
      </c>
      <c r="E16" s="207">
        <f t="shared" si="0"/>
        <v>189382.5</v>
      </c>
      <c r="F16" s="207">
        <f t="shared" si="0"/>
        <v>189382.5</v>
      </c>
      <c r="G16" s="123">
        <f t="shared" si="1"/>
        <v>100</v>
      </c>
      <c r="H16" s="207">
        <f t="shared" si="2"/>
        <v>0</v>
      </c>
      <c r="I16" s="100"/>
      <c r="J16" s="100"/>
      <c r="K16" s="100"/>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row>
    <row r="17" spans="1:112" s="2" customFormat="1" ht="18" customHeight="1">
      <c r="A17" s="120" t="s">
        <v>153</v>
      </c>
      <c r="B17" s="33" t="s">
        <v>154</v>
      </c>
      <c r="C17" s="207">
        <f t="shared" si="0"/>
        <v>254021.16999999998</v>
      </c>
      <c r="D17" s="207">
        <f t="shared" si="0"/>
        <v>-6910.1</v>
      </c>
      <c r="E17" s="207">
        <f t="shared" si="0"/>
        <v>247111.06999999998</v>
      </c>
      <c r="F17" s="207">
        <f t="shared" si="0"/>
        <v>247111.06999999998</v>
      </c>
      <c r="G17" s="123">
        <f t="shared" si="1"/>
        <v>100</v>
      </c>
      <c r="H17" s="207">
        <f t="shared" si="2"/>
        <v>0</v>
      </c>
      <c r="I17" s="100"/>
      <c r="J17" s="100"/>
      <c r="K17" s="100"/>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row>
    <row r="18" spans="1:112" s="2" customFormat="1" ht="18" customHeight="1">
      <c r="A18" s="120" t="s">
        <v>155</v>
      </c>
      <c r="B18" s="33" t="s">
        <v>156</v>
      </c>
      <c r="C18" s="207">
        <f t="shared" si="0"/>
        <v>8420220.32</v>
      </c>
      <c r="D18" s="207">
        <f t="shared" si="0"/>
        <v>-1248385.88</v>
      </c>
      <c r="E18" s="207">
        <f t="shared" si="0"/>
        <v>7171834.44</v>
      </c>
      <c r="F18" s="207">
        <f t="shared" si="0"/>
        <v>6905283.69</v>
      </c>
      <c r="G18" s="123">
        <f t="shared" si="1"/>
        <v>96.28336721615676</v>
      </c>
      <c r="H18" s="207">
        <f t="shared" si="2"/>
        <v>266550.75</v>
      </c>
      <c r="I18" s="100"/>
      <c r="J18" s="100"/>
      <c r="K18" s="100"/>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row>
    <row r="19" spans="1:112" s="2" customFormat="1" ht="18" customHeight="1">
      <c r="A19" s="120" t="s">
        <v>157</v>
      </c>
      <c r="B19" s="33" t="s">
        <v>158</v>
      </c>
      <c r="C19" s="207">
        <f t="shared" si="0"/>
        <v>0</v>
      </c>
      <c r="D19" s="207">
        <f t="shared" si="0"/>
        <v>0</v>
      </c>
      <c r="E19" s="207">
        <f t="shared" si="0"/>
        <v>0</v>
      </c>
      <c r="F19" s="207">
        <f t="shared" si="0"/>
        <v>0</v>
      </c>
      <c r="G19" s="123" t="str">
        <f t="shared" si="1"/>
        <v xml:space="preserve">    --</v>
      </c>
      <c r="H19" s="207">
        <f t="shared" si="2"/>
        <v>0</v>
      </c>
      <c r="I19" s="100"/>
      <c r="J19" s="100"/>
      <c r="K19" s="100"/>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row>
    <row r="20" spans="1:112" s="2" customFormat="1" ht="18" customHeight="1">
      <c r="A20" s="120" t="s">
        <v>159</v>
      </c>
      <c r="B20" s="33" t="s">
        <v>160</v>
      </c>
      <c r="C20" s="207">
        <f t="shared" si="0"/>
        <v>0</v>
      </c>
      <c r="D20" s="207">
        <f t="shared" si="0"/>
        <v>0</v>
      </c>
      <c r="E20" s="207">
        <f t="shared" si="0"/>
        <v>0</v>
      </c>
      <c r="F20" s="207">
        <f t="shared" si="0"/>
        <v>0</v>
      </c>
      <c r="G20" s="123" t="str">
        <f t="shared" si="1"/>
        <v xml:space="preserve">    --</v>
      </c>
      <c r="H20" s="207">
        <f t="shared" si="2"/>
        <v>0</v>
      </c>
      <c r="I20" s="100"/>
      <c r="J20" s="100"/>
      <c r="K20" s="100"/>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row>
    <row r="21" spans="1:112" s="2" customFormat="1" ht="18" customHeight="1">
      <c r="A21" s="120" t="s">
        <v>161</v>
      </c>
      <c r="B21" s="33" t="s">
        <v>162</v>
      </c>
      <c r="C21" s="207">
        <f t="shared" si="0"/>
        <v>0</v>
      </c>
      <c r="D21" s="207">
        <f t="shared" si="0"/>
        <v>0</v>
      </c>
      <c r="E21" s="207">
        <f t="shared" si="0"/>
        <v>0</v>
      </c>
      <c r="F21" s="207">
        <f t="shared" si="0"/>
        <v>0</v>
      </c>
      <c r="G21" s="123" t="str">
        <f t="shared" si="1"/>
        <v xml:space="preserve">    --</v>
      </c>
      <c r="H21" s="207">
        <f t="shared" si="2"/>
        <v>0</v>
      </c>
      <c r="I21" s="100"/>
      <c r="J21" s="100"/>
      <c r="K21" s="100"/>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row>
    <row r="22" spans="1:112" s="2" customFormat="1" ht="18" customHeight="1" thickBot="1">
      <c r="A22" s="238" t="s">
        <v>268</v>
      </c>
      <c r="B22" s="238"/>
      <c r="C22" s="208">
        <f>SUM(C14:C21)</f>
        <v>15281601.23</v>
      </c>
      <c r="D22" s="208">
        <f>SUM(D14:D21)</f>
        <v>-1522260.46</v>
      </c>
      <c r="E22" s="208">
        <f>SUM(E14:E21)</f>
        <v>13759340.760000002</v>
      </c>
      <c r="F22" s="208">
        <f>SUM(F14:F21)</f>
        <v>13327524.700000001</v>
      </c>
      <c r="G22" s="124">
        <f t="shared" si="1"/>
        <v>96.86165153162469</v>
      </c>
      <c r="H22" s="208">
        <f>SUM(H14:H21)</f>
        <v>431816.06</v>
      </c>
      <c r="I22" s="100"/>
      <c r="J22" s="100"/>
      <c r="K22" s="100"/>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row>
    <row r="23" spans="1:112" s="2" customFormat="1" ht="12.95" customHeight="1">
      <c r="A23" s="129"/>
      <c r="B23" s="129"/>
      <c r="C23" s="130"/>
      <c r="D23" s="103"/>
      <c r="E23" s="103"/>
      <c r="F23" s="103"/>
      <c r="G23" s="103"/>
      <c r="H23" s="103"/>
      <c r="I23" s="100"/>
      <c r="J23" s="100"/>
      <c r="K23" s="100"/>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row>
    <row r="24" spans="1:112" s="2" customFormat="1" ht="12.95" customHeight="1">
      <c r="A24" s="129"/>
      <c r="B24" s="129"/>
      <c r="C24" s="130"/>
      <c r="D24" s="103"/>
      <c r="E24" s="103"/>
      <c r="F24" s="103"/>
      <c r="G24" s="103"/>
      <c r="H24" s="103"/>
      <c r="I24" s="100"/>
      <c r="J24" s="100"/>
      <c r="K24" s="100"/>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row>
    <row r="25" spans="1:112" s="2" customFormat="1" ht="18" customHeight="1" thickBot="1">
      <c r="A25" s="48" t="s">
        <v>8</v>
      </c>
      <c r="B25" s="129"/>
      <c r="C25" s="130"/>
      <c r="D25" s="103"/>
      <c r="E25" s="103"/>
      <c r="F25" s="103"/>
      <c r="G25" s="103"/>
      <c r="H25" s="103"/>
      <c r="I25" s="193">
        <f>I1</f>
        <v>1995</v>
      </c>
      <c r="J25" s="104"/>
      <c r="K25" s="103"/>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row>
    <row r="26" spans="1:112" s="2" customFormat="1" ht="33" customHeight="1">
      <c r="A26" s="241" t="s">
        <v>432</v>
      </c>
      <c r="B26" s="241"/>
      <c r="C26" s="116"/>
      <c r="D26" s="117"/>
      <c r="E26" s="117"/>
      <c r="F26" s="173"/>
      <c r="G26" s="173"/>
      <c r="H26" s="173"/>
      <c r="I26" s="173"/>
      <c r="J26" s="104"/>
      <c r="K26" s="103"/>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row>
    <row r="27" spans="1:112" s="2" customFormat="1" ht="48" customHeight="1">
      <c r="A27" s="246" t="s">
        <v>138</v>
      </c>
      <c r="B27" s="246"/>
      <c r="C27" s="174" t="s">
        <v>271</v>
      </c>
      <c r="D27" s="174" t="s">
        <v>272</v>
      </c>
      <c r="E27" s="174" t="s">
        <v>273</v>
      </c>
      <c r="F27" s="174" t="s">
        <v>274</v>
      </c>
      <c r="G27" s="119" t="s">
        <v>143</v>
      </c>
      <c r="H27" s="174" t="s">
        <v>275</v>
      </c>
      <c r="I27" s="174" t="s">
        <v>276</v>
      </c>
      <c r="J27" s="104"/>
      <c r="K27" s="103"/>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row>
    <row r="28" spans="1:112" s="2" customFormat="1" ht="18" customHeight="1">
      <c r="A28" s="120" t="s">
        <v>147</v>
      </c>
      <c r="B28" s="33" t="s">
        <v>167</v>
      </c>
      <c r="C28" s="207">
        <f aca="true" t="shared" si="3" ref="C28:D36">C103+C152</f>
        <v>0</v>
      </c>
      <c r="D28" s="207">
        <f t="shared" si="3"/>
        <v>0</v>
      </c>
      <c r="E28" s="207">
        <f aca="true" t="shared" si="4" ref="E28:E36">E103+F103+E152+F152</f>
        <v>0</v>
      </c>
      <c r="F28" s="207">
        <f aca="true" t="shared" si="5" ref="F28:F36">I103+J103+I152+J152</f>
        <v>0</v>
      </c>
      <c r="G28" s="123" t="str">
        <f>IF((C28+D28-E28-F28)=0,"    --",H28/(C28+D28-E28-F28)*100)</f>
        <v xml:space="preserve">    --</v>
      </c>
      <c r="H28" s="207">
        <f aca="true" t="shared" si="6" ref="H28:H36">H103+H152</f>
        <v>0</v>
      </c>
      <c r="I28" s="207">
        <f>K103+K152</f>
        <v>0</v>
      </c>
      <c r="J28" s="104"/>
      <c r="K28" s="103"/>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row>
    <row r="29" spans="1:112" s="2" customFormat="1" ht="18" customHeight="1">
      <c r="A29" s="120" t="s">
        <v>149</v>
      </c>
      <c r="B29" s="33" t="s">
        <v>168</v>
      </c>
      <c r="C29" s="207">
        <f t="shared" si="3"/>
        <v>0</v>
      </c>
      <c r="D29" s="207">
        <f t="shared" si="3"/>
        <v>0</v>
      </c>
      <c r="E29" s="207">
        <f t="shared" si="4"/>
        <v>0</v>
      </c>
      <c r="F29" s="207">
        <f t="shared" si="5"/>
        <v>0</v>
      </c>
      <c r="G29" s="123" t="str">
        <f aca="true" t="shared" si="7" ref="G29:G36">IF((C29+D29-E29-F29)=0,"    --",H29/(C29+D29-E29-F29)*100)</f>
        <v xml:space="preserve">    --</v>
      </c>
      <c r="H29" s="207">
        <f t="shared" si="6"/>
        <v>0</v>
      </c>
      <c r="I29" s="207">
        <f aca="true" t="shared" si="8" ref="I29:I36">K104+K153</f>
        <v>0</v>
      </c>
      <c r="J29" s="104"/>
      <c r="K29" s="103"/>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row>
    <row r="30" spans="1:112" s="2" customFormat="1" ht="18" customHeight="1">
      <c r="A30" s="120" t="s">
        <v>151</v>
      </c>
      <c r="B30" s="33" t="s">
        <v>169</v>
      </c>
      <c r="C30" s="207">
        <f t="shared" si="3"/>
        <v>8270609.7299999995</v>
      </c>
      <c r="D30" s="207">
        <f t="shared" si="3"/>
        <v>-190184.21</v>
      </c>
      <c r="E30" s="207">
        <f t="shared" si="4"/>
        <v>27736.69</v>
      </c>
      <c r="F30" s="207">
        <f t="shared" si="5"/>
        <v>0</v>
      </c>
      <c r="G30" s="123">
        <f t="shared" si="7"/>
        <v>93.94771311435363</v>
      </c>
      <c r="H30" s="207">
        <f t="shared" si="6"/>
        <v>7565317</v>
      </c>
      <c r="I30" s="207">
        <f t="shared" si="8"/>
        <v>487371.83</v>
      </c>
      <c r="J30" s="104"/>
      <c r="K30" s="103"/>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row>
    <row r="31" spans="1:112" s="2" customFormat="1" ht="18" customHeight="1">
      <c r="A31" s="120" t="s">
        <v>153</v>
      </c>
      <c r="B31" s="33" t="s">
        <v>154</v>
      </c>
      <c r="C31" s="207">
        <f t="shared" si="3"/>
        <v>7684640.4</v>
      </c>
      <c r="D31" s="207">
        <f t="shared" si="3"/>
        <v>0</v>
      </c>
      <c r="E31" s="207">
        <f t="shared" si="4"/>
        <v>19412.690000000002</v>
      </c>
      <c r="F31" s="207">
        <f t="shared" si="5"/>
        <v>0</v>
      </c>
      <c r="G31" s="123">
        <f t="shared" si="7"/>
        <v>92.3001913011662</v>
      </c>
      <c r="H31" s="207">
        <f t="shared" si="6"/>
        <v>7075019.840000001</v>
      </c>
      <c r="I31" s="207">
        <f t="shared" si="8"/>
        <v>590207.87</v>
      </c>
      <c r="J31" s="104"/>
      <c r="K31" s="103"/>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row>
    <row r="32" spans="1:112" s="2" customFormat="1" ht="18" customHeight="1">
      <c r="A32" s="120" t="s">
        <v>170</v>
      </c>
      <c r="B32" s="33" t="s">
        <v>171</v>
      </c>
      <c r="C32" s="207">
        <f t="shared" si="3"/>
        <v>555582.13</v>
      </c>
      <c r="D32" s="207">
        <f t="shared" si="3"/>
        <v>-51719.99</v>
      </c>
      <c r="E32" s="207">
        <f t="shared" si="4"/>
        <v>0.01</v>
      </c>
      <c r="F32" s="207">
        <f t="shared" si="5"/>
        <v>0</v>
      </c>
      <c r="G32" s="123">
        <f t="shared" si="7"/>
        <v>98.00940388197064</v>
      </c>
      <c r="H32" s="207">
        <f t="shared" si="6"/>
        <v>493832.27</v>
      </c>
      <c r="I32" s="207">
        <f t="shared" si="8"/>
        <v>10029.88</v>
      </c>
      <c r="J32" s="104"/>
      <c r="K32" s="103"/>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row>
    <row r="33" spans="1:112" s="2" customFormat="1" ht="18" customHeight="1">
      <c r="A33" s="120" t="s">
        <v>155</v>
      </c>
      <c r="B33" s="33" t="s">
        <v>172</v>
      </c>
      <c r="C33" s="207">
        <f t="shared" si="3"/>
        <v>0</v>
      </c>
      <c r="D33" s="207">
        <f t="shared" si="3"/>
        <v>0</v>
      </c>
      <c r="E33" s="207">
        <f t="shared" si="4"/>
        <v>0</v>
      </c>
      <c r="F33" s="207">
        <f t="shared" si="5"/>
        <v>0</v>
      </c>
      <c r="G33" s="123" t="str">
        <f t="shared" si="7"/>
        <v xml:space="preserve">    --</v>
      </c>
      <c r="H33" s="207">
        <f t="shared" si="6"/>
        <v>0</v>
      </c>
      <c r="I33" s="207">
        <f t="shared" si="8"/>
        <v>0</v>
      </c>
      <c r="J33" s="104"/>
      <c r="K33" s="103"/>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row>
    <row r="34" spans="1:112" s="2" customFormat="1" ht="18" customHeight="1">
      <c r="A34" s="120" t="s">
        <v>157</v>
      </c>
      <c r="B34" s="33" t="s">
        <v>158</v>
      </c>
      <c r="C34" s="207">
        <f t="shared" si="3"/>
        <v>17845035.64</v>
      </c>
      <c r="D34" s="207">
        <f t="shared" si="3"/>
        <v>4317000.94</v>
      </c>
      <c r="E34" s="207">
        <f t="shared" si="4"/>
        <v>66973.76</v>
      </c>
      <c r="F34" s="207">
        <f t="shared" si="5"/>
        <v>0</v>
      </c>
      <c r="G34" s="123">
        <f t="shared" si="7"/>
        <v>66.15655288732056</v>
      </c>
      <c r="H34" s="207">
        <f t="shared" si="6"/>
        <v>14617331.92</v>
      </c>
      <c r="I34" s="207">
        <f t="shared" si="8"/>
        <v>7477730.91</v>
      </c>
      <c r="J34" s="104"/>
      <c r="K34" s="103"/>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row>
    <row r="35" spans="1:112" s="2" customFormat="1" ht="18" customHeight="1">
      <c r="A35" s="120" t="s">
        <v>159</v>
      </c>
      <c r="B35" s="33" t="s">
        <v>160</v>
      </c>
      <c r="C35" s="207">
        <f t="shared" si="3"/>
        <v>0</v>
      </c>
      <c r="D35" s="207">
        <f t="shared" si="3"/>
        <v>0</v>
      </c>
      <c r="E35" s="207">
        <f t="shared" si="4"/>
        <v>0</v>
      </c>
      <c r="F35" s="207">
        <f t="shared" si="5"/>
        <v>0</v>
      </c>
      <c r="G35" s="123" t="str">
        <f t="shared" si="7"/>
        <v xml:space="preserve">    --</v>
      </c>
      <c r="H35" s="207">
        <f t="shared" si="6"/>
        <v>0</v>
      </c>
      <c r="I35" s="207">
        <f t="shared" si="8"/>
        <v>0</v>
      </c>
      <c r="J35" s="104"/>
      <c r="K35" s="103"/>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row>
    <row r="36" spans="1:112" s="2" customFormat="1" ht="18" customHeight="1">
      <c r="A36" s="120" t="s">
        <v>161</v>
      </c>
      <c r="B36" s="33" t="s">
        <v>162</v>
      </c>
      <c r="C36" s="207">
        <f t="shared" si="3"/>
        <v>0</v>
      </c>
      <c r="D36" s="207">
        <f t="shared" si="3"/>
        <v>0</v>
      </c>
      <c r="E36" s="207">
        <f t="shared" si="4"/>
        <v>0</v>
      </c>
      <c r="F36" s="207">
        <f t="shared" si="5"/>
        <v>0</v>
      </c>
      <c r="G36" s="123" t="str">
        <f t="shared" si="7"/>
        <v xml:space="preserve">    --</v>
      </c>
      <c r="H36" s="207">
        <f t="shared" si="6"/>
        <v>0</v>
      </c>
      <c r="I36" s="207">
        <f t="shared" si="8"/>
        <v>0</v>
      </c>
      <c r="J36" s="104"/>
      <c r="K36" s="103"/>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row>
    <row r="37" spans="1:112" s="2" customFormat="1" ht="18" customHeight="1" thickBot="1">
      <c r="A37" s="238" t="s">
        <v>277</v>
      </c>
      <c r="B37" s="238"/>
      <c r="C37" s="208">
        <f>SUM(C28:C36)</f>
        <v>34355867.9</v>
      </c>
      <c r="D37" s="208">
        <f aca="true" t="shared" si="9" ref="D37:I37">SUM(D28:D36)</f>
        <v>4075096.74</v>
      </c>
      <c r="E37" s="208">
        <f t="shared" si="9"/>
        <v>114123.15</v>
      </c>
      <c r="F37" s="208">
        <f t="shared" si="9"/>
        <v>0</v>
      </c>
      <c r="G37" s="215">
        <f>IF((C37+D37-E37-F37)=0,"    --",H37/(C37+D37-E37-F37)*100)</f>
        <v>77.64601640707937</v>
      </c>
      <c r="H37" s="208">
        <f t="shared" si="9"/>
        <v>29751501.03</v>
      </c>
      <c r="I37" s="208">
        <f t="shared" si="9"/>
        <v>8565340.49</v>
      </c>
      <c r="J37" s="104"/>
      <c r="K37" s="103"/>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row>
    <row r="38" spans="1:194" s="2" customFormat="1" ht="12.95" customHeight="1">
      <c r="A38" s="24"/>
      <c r="B38" s="100"/>
      <c r="C38" s="100"/>
      <c r="D38" s="100"/>
      <c r="E38" s="100"/>
      <c r="F38" s="101"/>
      <c r="G38" s="101"/>
      <c r="H38" s="101"/>
      <c r="I38" s="100"/>
      <c r="J38" s="100"/>
      <c r="K38" s="100"/>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row>
    <row r="39" spans="1:194" s="2" customFormat="1" ht="18" customHeight="1">
      <c r="A39" s="219" t="s">
        <v>433</v>
      </c>
      <c r="B39" s="33"/>
      <c r="C39" s="100"/>
      <c r="D39" s="100"/>
      <c r="E39" s="100"/>
      <c r="F39" s="101"/>
      <c r="G39" s="101"/>
      <c r="H39" s="101"/>
      <c r="I39" s="100"/>
      <c r="J39" s="100"/>
      <c r="K39" s="100"/>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row>
    <row r="40" ht="12.95" customHeight="1">
      <c r="I40" s="26"/>
    </row>
    <row r="41" spans="1:5" ht="21" customHeight="1">
      <c r="A41" s="102" t="s">
        <v>358</v>
      </c>
      <c r="E41" s="102" t="s">
        <v>430</v>
      </c>
    </row>
    <row r="42" ht="12.95" customHeight="1"/>
    <row r="43" spans="1:5" ht="18" customHeight="1" thickBot="1">
      <c r="A43" s="34" t="s">
        <v>8</v>
      </c>
      <c r="E43" s="34" t="s">
        <v>8</v>
      </c>
    </row>
    <row r="44" spans="1:9" s="34" customFormat="1" ht="33" customHeight="1">
      <c r="A44" s="241" t="s">
        <v>12</v>
      </c>
      <c r="B44" s="241"/>
      <c r="C44" s="28">
        <f>I1</f>
        <v>1995</v>
      </c>
      <c r="E44" s="241" t="s">
        <v>12</v>
      </c>
      <c r="F44" s="241"/>
      <c r="G44" s="167"/>
      <c r="H44" s="28">
        <f>I1</f>
        <v>1995</v>
      </c>
      <c r="I44" s="3"/>
    </row>
    <row r="45" spans="1:9" s="34" customFormat="1" ht="18" customHeight="1">
      <c r="A45" s="168" t="s">
        <v>278</v>
      </c>
      <c r="B45" s="168" t="s">
        <v>279</v>
      </c>
      <c r="C45" s="216">
        <f aca="true" t="shared" si="10" ref="C45:C61">C116+C165</f>
        <v>128142020.2</v>
      </c>
      <c r="E45" s="168" t="s">
        <v>280</v>
      </c>
      <c r="F45" s="168"/>
      <c r="G45" s="169"/>
      <c r="H45" s="216">
        <f aca="true" t="shared" si="11" ref="H45:H56">F116+F165</f>
        <v>328689116.52</v>
      </c>
      <c r="I45" s="3"/>
    </row>
    <row r="46" spans="1:9" s="34" customFormat="1" ht="18" customHeight="1">
      <c r="A46" s="33" t="s">
        <v>281</v>
      </c>
      <c r="B46" s="33" t="s">
        <v>282</v>
      </c>
      <c r="C46" s="46">
        <f t="shared" si="10"/>
        <v>109685125.08000001</v>
      </c>
      <c r="E46" s="237" t="s">
        <v>283</v>
      </c>
      <c r="F46" s="237"/>
      <c r="G46" s="237"/>
      <c r="H46" s="46">
        <f t="shared" si="11"/>
        <v>269476121.17</v>
      </c>
      <c r="I46" s="3"/>
    </row>
    <row r="47" spans="1:9" s="34" customFormat="1" ht="18" customHeight="1">
      <c r="A47" s="33" t="s">
        <v>281</v>
      </c>
      <c r="B47" s="33" t="s">
        <v>284</v>
      </c>
      <c r="C47" s="46">
        <f t="shared" si="10"/>
        <v>8565340.500000002</v>
      </c>
      <c r="E47" s="237" t="s">
        <v>285</v>
      </c>
      <c r="F47" s="237"/>
      <c r="G47" s="237"/>
      <c r="H47" s="46">
        <f t="shared" si="11"/>
        <v>29751501.01</v>
      </c>
      <c r="I47" s="3"/>
    </row>
    <row r="48" spans="1:9" s="34" customFormat="1" ht="18" customHeight="1">
      <c r="A48" s="33" t="s">
        <v>286</v>
      </c>
      <c r="B48" s="33" t="s">
        <v>287</v>
      </c>
      <c r="C48" s="46">
        <f t="shared" si="10"/>
        <v>10048737.629999999</v>
      </c>
      <c r="E48" s="237" t="s">
        <v>288</v>
      </c>
      <c r="F48" s="237"/>
      <c r="G48" s="237"/>
      <c r="H48" s="46">
        <f t="shared" si="11"/>
        <v>29461494.35</v>
      </c>
      <c r="I48" s="3"/>
    </row>
    <row r="49" spans="1:9" s="34" customFormat="1" ht="18" customHeight="1">
      <c r="A49" s="33" t="s">
        <v>286</v>
      </c>
      <c r="B49" s="33" t="s">
        <v>289</v>
      </c>
      <c r="C49" s="46">
        <f t="shared" si="10"/>
        <v>0</v>
      </c>
      <c r="E49" s="237" t="s">
        <v>290</v>
      </c>
      <c r="F49" s="237"/>
      <c r="G49" s="237"/>
      <c r="H49" s="46">
        <f t="shared" si="11"/>
        <v>0</v>
      </c>
      <c r="I49" s="3"/>
    </row>
    <row r="50" spans="1:9" s="34" customFormat="1" ht="18" customHeight="1">
      <c r="A50" s="33" t="s">
        <v>291</v>
      </c>
      <c r="B50" s="33" t="s">
        <v>292</v>
      </c>
      <c r="C50" s="46">
        <f t="shared" si="10"/>
        <v>31432.93</v>
      </c>
      <c r="E50" s="142" t="s">
        <v>293</v>
      </c>
      <c r="F50" s="142"/>
      <c r="G50" s="31"/>
      <c r="H50" s="202">
        <f t="shared" si="11"/>
        <v>352491371.68000007</v>
      </c>
      <c r="I50" s="3"/>
    </row>
    <row r="51" spans="1:9" s="34" customFormat="1" ht="18" customHeight="1">
      <c r="A51" s="33" t="s">
        <v>294</v>
      </c>
      <c r="B51" s="33" t="s">
        <v>295</v>
      </c>
      <c r="C51" s="46">
        <f t="shared" si="10"/>
        <v>125750.08</v>
      </c>
      <c r="E51" s="237" t="s">
        <v>283</v>
      </c>
      <c r="F51" s="237"/>
      <c r="G51" s="237"/>
      <c r="H51" s="46">
        <f t="shared" si="11"/>
        <v>319207769.12</v>
      </c>
      <c r="I51" s="3"/>
    </row>
    <row r="52" spans="1:9" s="34" customFormat="1" ht="18" customHeight="1">
      <c r="A52" s="142" t="s">
        <v>296</v>
      </c>
      <c r="B52" s="142" t="s">
        <v>297</v>
      </c>
      <c r="C52" s="202">
        <f t="shared" si="10"/>
        <v>67001562.19</v>
      </c>
      <c r="E52" s="237" t="s">
        <v>285</v>
      </c>
      <c r="F52" s="237"/>
      <c r="G52" s="237"/>
      <c r="H52" s="46">
        <f t="shared" si="11"/>
        <v>13327524.690000001</v>
      </c>
      <c r="I52" s="3"/>
    </row>
    <row r="53" spans="1:9" s="34" customFormat="1" ht="18" customHeight="1">
      <c r="A53" s="33" t="s">
        <v>298</v>
      </c>
      <c r="B53" s="33" t="s">
        <v>299</v>
      </c>
      <c r="C53" s="46">
        <f t="shared" si="10"/>
        <v>45325406.69</v>
      </c>
      <c r="E53" s="237" t="s">
        <v>288</v>
      </c>
      <c r="F53" s="237"/>
      <c r="G53" s="237"/>
      <c r="H53" s="46">
        <f t="shared" si="11"/>
        <v>19956077.86</v>
      </c>
      <c r="I53" s="3"/>
    </row>
    <row r="54" spans="1:9" s="34" customFormat="1" ht="18" customHeight="1">
      <c r="A54" s="33" t="s">
        <v>298</v>
      </c>
      <c r="B54" s="33" t="s">
        <v>300</v>
      </c>
      <c r="C54" s="46">
        <f t="shared" si="10"/>
        <v>431816.06</v>
      </c>
      <c r="E54" s="251" t="s">
        <v>290</v>
      </c>
      <c r="F54" s="251"/>
      <c r="G54" s="251"/>
      <c r="H54" s="46">
        <f t="shared" si="11"/>
        <v>0</v>
      </c>
      <c r="I54" s="3"/>
    </row>
    <row r="55" spans="1:9" s="34" customFormat="1" ht="18" customHeight="1">
      <c r="A55" s="33" t="s">
        <v>298</v>
      </c>
      <c r="B55" s="33" t="s">
        <v>301</v>
      </c>
      <c r="C55" s="46">
        <f t="shared" si="10"/>
        <v>21244339.44</v>
      </c>
      <c r="E55" s="168" t="s">
        <v>302</v>
      </c>
      <c r="F55" s="168"/>
      <c r="G55" s="169"/>
      <c r="H55" s="202">
        <f t="shared" si="11"/>
        <v>-23802255.16</v>
      </c>
      <c r="I55" s="3"/>
    </row>
    <row r="56" spans="1:9" s="34" customFormat="1" ht="18" customHeight="1">
      <c r="A56" s="33" t="s">
        <v>286</v>
      </c>
      <c r="B56" s="33" t="s">
        <v>303</v>
      </c>
      <c r="C56" s="46">
        <f t="shared" si="10"/>
        <v>0</v>
      </c>
      <c r="E56" s="168" t="s">
        <v>304</v>
      </c>
      <c r="F56" s="168"/>
      <c r="G56" s="169"/>
      <c r="H56" s="216">
        <f t="shared" si="11"/>
        <v>36216989.41</v>
      </c>
      <c r="I56" s="3"/>
    </row>
    <row r="57" spans="1:8" s="34" customFormat="1" ht="18" customHeight="1">
      <c r="A57" s="33" t="s">
        <v>294</v>
      </c>
      <c r="B57" s="33" t="s">
        <v>305</v>
      </c>
      <c r="C57" s="46">
        <f t="shared" si="10"/>
        <v>0</v>
      </c>
      <c r="H57" s="218"/>
    </row>
    <row r="58" spans="1:8" s="34" customFormat="1" ht="18" customHeight="1" thickBot="1">
      <c r="A58" s="142" t="s">
        <v>306</v>
      </c>
      <c r="B58" s="142" t="s">
        <v>307</v>
      </c>
      <c r="C58" s="202">
        <f t="shared" si="10"/>
        <v>12414734.25</v>
      </c>
      <c r="E58" s="175" t="s">
        <v>308</v>
      </c>
      <c r="F58" s="175"/>
      <c r="G58" s="39"/>
      <c r="H58" s="217">
        <f>F128+F177</f>
        <v>12414734.25</v>
      </c>
    </row>
    <row r="59" spans="1:3" s="34" customFormat="1" ht="18" customHeight="1">
      <c r="A59" s="176" t="s">
        <v>309</v>
      </c>
      <c r="B59" s="142" t="s">
        <v>310</v>
      </c>
      <c r="C59" s="202">
        <f t="shared" si="10"/>
        <v>2407053.48</v>
      </c>
    </row>
    <row r="60" spans="1:8" s="34" customFormat="1" ht="18" customHeight="1">
      <c r="A60" s="176" t="s">
        <v>311</v>
      </c>
      <c r="B60" s="142" t="s">
        <v>312</v>
      </c>
      <c r="C60" s="202">
        <f t="shared" si="10"/>
        <v>71148138.78000002</v>
      </c>
      <c r="D60" s="42"/>
      <c r="H60" s="42"/>
    </row>
    <row r="61" spans="1:5" s="34" customFormat="1" ht="18" customHeight="1" thickBot="1">
      <c r="A61" s="177" t="s">
        <v>313</v>
      </c>
      <c r="B61" s="178" t="s">
        <v>314</v>
      </c>
      <c r="C61" s="217">
        <f t="shared" si="10"/>
        <v>73555192.26</v>
      </c>
      <c r="D61" s="42"/>
      <c r="E61" s="42"/>
    </row>
    <row r="62" s="34" customFormat="1" ht="12.95" customHeight="1">
      <c r="E62" s="42"/>
    </row>
    <row r="63" s="34" customFormat="1" ht="12.95" customHeight="1"/>
    <row r="64" s="34" customFormat="1" ht="21" customHeight="1">
      <c r="A64" s="102" t="s">
        <v>42</v>
      </c>
    </row>
    <row r="65" s="34" customFormat="1" ht="12.95" customHeight="1">
      <c r="A65" s="102"/>
    </row>
    <row r="66" spans="12:15" s="34" customFormat="1" ht="12.95" customHeight="1" thickBot="1">
      <c r="L66" s="44">
        <v>21500</v>
      </c>
      <c r="M66" s="44">
        <v>21501</v>
      </c>
      <c r="N66" s="44">
        <v>21502</v>
      </c>
      <c r="O66" s="44">
        <v>21503</v>
      </c>
    </row>
    <row r="67" spans="1:15" s="34" customFormat="1" ht="33" customHeight="1">
      <c r="A67" s="241" t="s">
        <v>54</v>
      </c>
      <c r="B67" s="241"/>
      <c r="C67" s="27"/>
      <c r="D67" s="28">
        <f>I1</f>
        <v>1995</v>
      </c>
      <c r="L67" s="44" t="s">
        <v>425</v>
      </c>
      <c r="M67" s="44" t="s">
        <v>437</v>
      </c>
      <c r="N67" s="44" t="s">
        <v>434</v>
      </c>
      <c r="O67" s="44" t="s">
        <v>434</v>
      </c>
    </row>
    <row r="68" spans="1:15" s="34" customFormat="1" ht="18" customHeight="1" thickBot="1">
      <c r="A68" s="109" t="s">
        <v>40</v>
      </c>
      <c r="B68" s="110"/>
      <c r="C68" s="110"/>
      <c r="D68" s="111">
        <f>SUM(L70:O70)</f>
        <v>10743</v>
      </c>
      <c r="L68" s="44" t="s">
        <v>0</v>
      </c>
      <c r="M68" s="44" t="s">
        <v>1</v>
      </c>
      <c r="N68" s="44" t="s">
        <v>2</v>
      </c>
      <c r="O68" s="44" t="s">
        <v>3</v>
      </c>
    </row>
    <row r="69" spans="1:15" s="34" customFormat="1" ht="18" customHeight="1">
      <c r="A69" s="3"/>
      <c r="B69" s="3"/>
      <c r="C69" s="3"/>
      <c r="D69" s="3"/>
      <c r="E69" s="105"/>
      <c r="F69" s="105"/>
      <c r="G69" s="105"/>
      <c r="H69" s="105"/>
      <c r="I69" s="105"/>
      <c r="L69" s="44"/>
      <c r="M69" s="44"/>
      <c r="N69" s="44"/>
      <c r="O69" s="44"/>
    </row>
    <row r="70" spans="1:15" s="34" customFormat="1" ht="18" customHeight="1">
      <c r="A70" s="1" t="str">
        <f>IF(COUNTIF(L70:O70,"Sin información")=0,"* En su defecto, empleados a fin de ejercicio.","* En su defecto, empleados a fin de ejercicio. En "&amp;COUNTIF(L70:O70,"Sin información")&amp;" de las "&amp;COUNTA(L70:O70)&amp;" cuentas agregadas, la memoria no ofrece dicha información.")</f>
        <v>* En su defecto, empleados a fin de ejercicio.</v>
      </c>
      <c r="B70" s="3"/>
      <c r="C70" s="3"/>
      <c r="D70" s="3"/>
      <c r="E70" s="105"/>
      <c r="F70" s="105"/>
      <c r="G70" s="105"/>
      <c r="H70" s="105"/>
      <c r="I70" s="105"/>
      <c r="L70" s="105">
        <f>'[1]8100'!$D$6</f>
        <v>4403</v>
      </c>
      <c r="M70" s="105">
        <f>'[2]8100'!$D$6</f>
        <v>2453</v>
      </c>
      <c r="N70" s="105">
        <f>'[3]8100'!$D$6</f>
        <v>1761</v>
      </c>
      <c r="O70" s="105">
        <f>'[4]8100'!$D$6</f>
        <v>2126</v>
      </c>
    </row>
    <row r="71" spans="1:15" s="34" customFormat="1" ht="12.95" customHeight="1" thickBot="1">
      <c r="A71" s="1"/>
      <c r="B71" s="3"/>
      <c r="C71" s="3"/>
      <c r="D71" s="3"/>
      <c r="E71" s="105"/>
      <c r="F71" s="105"/>
      <c r="G71" s="105"/>
      <c r="H71" s="105"/>
      <c r="I71" s="105"/>
      <c r="L71" s="105"/>
      <c r="M71" s="105"/>
      <c r="N71" s="105"/>
      <c r="O71" s="105"/>
    </row>
    <row r="72" spans="1:15" s="34" customFormat="1" ht="33" customHeight="1">
      <c r="A72" s="241" t="s">
        <v>55</v>
      </c>
      <c r="B72" s="241"/>
      <c r="C72" s="27"/>
      <c r="D72" s="27"/>
      <c r="E72" s="27"/>
      <c r="F72" s="28">
        <f>I1</f>
        <v>1995</v>
      </c>
      <c r="L72" s="44"/>
      <c r="M72" s="44"/>
      <c r="N72" s="44"/>
      <c r="O72" s="44"/>
    </row>
    <row r="73" spans="1:15" s="34" customFormat="1" ht="18" customHeight="1" thickBot="1">
      <c r="A73" s="107" t="s">
        <v>366</v>
      </c>
      <c r="B73" s="107"/>
      <c r="C73" s="107"/>
      <c r="D73" s="107"/>
      <c r="E73" s="107"/>
      <c r="F73" s="112">
        <f>SUM(L73:O73)</f>
        <v>3005060.5219189115</v>
      </c>
      <c r="L73" s="221">
        <f>'[1]8100'!$H$10</f>
        <v>0</v>
      </c>
      <c r="M73" s="221">
        <f>'[2]8100'!$H$10</f>
        <v>3005060.5219189115</v>
      </c>
      <c r="N73" s="221">
        <f>'[5]8100'!$H$10</f>
        <v>0</v>
      </c>
      <c r="O73" s="221">
        <f>'[4]8100'!$H$10</f>
        <v>0</v>
      </c>
    </row>
    <row r="74" spans="1:15" s="34" customFormat="1" ht="12.95" customHeight="1">
      <c r="A74" s="1"/>
      <c r="B74" s="3"/>
      <c r="C74" s="3"/>
      <c r="D74" s="3"/>
      <c r="E74" s="105"/>
      <c r="F74" s="105"/>
      <c r="G74" s="105"/>
      <c r="H74" s="105"/>
      <c r="I74" s="105"/>
      <c r="L74" s="105"/>
      <c r="M74" s="105"/>
      <c r="N74" s="105"/>
      <c r="O74" s="105"/>
    </row>
    <row r="75" spans="1:11" s="34" customFormat="1" ht="12.95" customHeight="1">
      <c r="A75" s="1"/>
      <c r="B75" s="3"/>
      <c r="C75" s="3"/>
      <c r="D75" s="3"/>
      <c r="E75" s="105"/>
      <c r="F75" s="105"/>
      <c r="G75" s="105"/>
      <c r="H75" s="105"/>
      <c r="I75" s="105"/>
      <c r="J75" s="105"/>
      <c r="K75" s="105"/>
    </row>
    <row r="76" spans="1:114" s="2" customFormat="1" ht="21" customHeight="1">
      <c r="A76" s="102" t="s">
        <v>13</v>
      </c>
      <c r="B76" s="129"/>
      <c r="C76" s="103"/>
      <c r="D76" s="103"/>
      <c r="E76" s="103"/>
      <c r="F76" s="103"/>
      <c r="G76" s="103"/>
      <c r="H76" s="104"/>
      <c r="I76" s="104"/>
      <c r="J76" s="103"/>
      <c r="K76" s="104"/>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row>
    <row r="77" spans="1:114" s="146" customFormat="1" ht="12.95" customHeight="1">
      <c r="A77" s="102"/>
      <c r="B77" s="129"/>
      <c r="C77" s="103"/>
      <c r="D77" s="126"/>
      <c r="E77" s="103"/>
      <c r="F77" s="103"/>
      <c r="G77" s="103"/>
      <c r="H77" s="104"/>
      <c r="I77" s="128"/>
      <c r="J77" s="126"/>
      <c r="K77" s="12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row>
    <row r="78" spans="1:8" ht="18" customHeight="1" thickBot="1">
      <c r="A78" s="115"/>
      <c r="B78" s="129"/>
      <c r="C78" s="193">
        <f>I1</f>
        <v>1995</v>
      </c>
      <c r="E78" s="103"/>
      <c r="F78" s="103"/>
      <c r="G78" s="103"/>
      <c r="H78" s="193">
        <f>I1</f>
        <v>1995</v>
      </c>
    </row>
    <row r="79" spans="1:8" ht="33" customHeight="1">
      <c r="A79" s="247" t="s">
        <v>200</v>
      </c>
      <c r="B79" s="247"/>
      <c r="C79" s="247"/>
      <c r="E79" s="247" t="s">
        <v>201</v>
      </c>
      <c r="F79" s="247"/>
      <c r="G79" s="247"/>
      <c r="H79" s="247"/>
    </row>
    <row r="80" spans="1:8" ht="18" customHeight="1">
      <c r="A80" s="34" t="s">
        <v>398</v>
      </c>
      <c r="C80" s="66">
        <f>IF(G22="    --","    --",G22/100)</f>
        <v>0.9686165153162469</v>
      </c>
      <c r="E80" s="33" t="s">
        <v>315</v>
      </c>
      <c r="F80" s="64"/>
      <c r="G80" s="64"/>
      <c r="H80" s="66">
        <f>IF((C53+C54)=0,"    --",H22/(C53+C54))</f>
        <v>0.00943711252667755</v>
      </c>
    </row>
    <row r="81" spans="1:8" ht="18" customHeight="1" thickBot="1">
      <c r="A81" s="71" t="s">
        <v>399</v>
      </c>
      <c r="B81" s="51"/>
      <c r="C81" s="72">
        <f>IF(G37="    --","    --",G37/100)</f>
        <v>0.7764601640707938</v>
      </c>
      <c r="E81" s="71" t="s">
        <v>316</v>
      </c>
      <c r="F81" s="51"/>
      <c r="G81" s="51"/>
      <c r="H81" s="72">
        <f>IF((C46+C47)=0,"    --",I37/(C46+C47))</f>
        <v>0.07243388385820171</v>
      </c>
    </row>
    <row r="82" spans="1:8" ht="18" customHeight="1">
      <c r="A82" s="33"/>
      <c r="B82" s="64"/>
      <c r="C82" s="66"/>
      <c r="E82" s="33"/>
      <c r="F82" s="64"/>
      <c r="G82" s="64"/>
      <c r="H82" s="66"/>
    </row>
    <row r="83" spans="1:5" ht="18" customHeight="1">
      <c r="A83" s="63" t="s">
        <v>424</v>
      </c>
      <c r="E83" s="34"/>
    </row>
    <row r="84" spans="1:3" ht="18" customHeight="1">
      <c r="A84" s="33"/>
      <c r="C84" s="33"/>
    </row>
    <row r="85" s="34" customFormat="1" ht="21" customHeight="1" hidden="1" thickBot="1">
      <c r="A85" s="102"/>
    </row>
    <row r="86" spans="1:11" s="34" customFormat="1" ht="21" customHeight="1" hidden="1">
      <c r="A86" s="102"/>
      <c r="B86" s="232" t="s">
        <v>350</v>
      </c>
      <c r="C86" s="235" t="s">
        <v>333</v>
      </c>
      <c r="D86" s="235" t="s">
        <v>334</v>
      </c>
      <c r="E86" s="252" t="s">
        <v>335</v>
      </c>
      <c r="F86" s="235" t="s">
        <v>336</v>
      </c>
      <c r="G86" s="230" t="s">
        <v>337</v>
      </c>
      <c r="H86" s="3"/>
      <c r="I86" s="3"/>
      <c r="J86" s="3"/>
      <c r="K86" s="3"/>
    </row>
    <row r="87" spans="1:11" s="34" customFormat="1" ht="21" customHeight="1" hidden="1">
      <c r="A87" s="102"/>
      <c r="B87" s="233"/>
      <c r="C87" s="236"/>
      <c r="D87" s="236"/>
      <c r="E87" s="253"/>
      <c r="F87" s="236"/>
      <c r="G87" s="231"/>
      <c r="H87" s="3"/>
      <c r="I87" s="3"/>
      <c r="J87" s="3"/>
      <c r="K87" s="3"/>
    </row>
    <row r="88" spans="1:11" s="34" customFormat="1" ht="21" customHeight="1" hidden="1">
      <c r="A88" s="102"/>
      <c r="B88" s="234"/>
      <c r="C88" s="157" t="s">
        <v>236</v>
      </c>
      <c r="D88" s="157" t="s">
        <v>232</v>
      </c>
      <c r="E88" s="157" t="s">
        <v>233</v>
      </c>
      <c r="F88" s="157" t="s">
        <v>234</v>
      </c>
      <c r="G88" s="157" t="s">
        <v>235</v>
      </c>
      <c r="H88" s="3"/>
      <c r="I88" s="3"/>
      <c r="J88" s="3"/>
      <c r="K88" s="3"/>
    </row>
    <row r="89" spans="1:11" s="34" customFormat="1" ht="21" customHeight="1" hidden="1">
      <c r="A89" s="102"/>
      <c r="B89" s="160" t="s">
        <v>240</v>
      </c>
      <c r="C89" s="121">
        <v>0</v>
      </c>
      <c r="D89" s="121">
        <v>0</v>
      </c>
      <c r="E89" s="121">
        <v>0</v>
      </c>
      <c r="F89" s="121">
        <v>0</v>
      </c>
      <c r="G89" s="121">
        <v>0</v>
      </c>
      <c r="H89" s="3"/>
      <c r="I89" s="3"/>
      <c r="J89" s="3"/>
      <c r="K89" s="3"/>
    </row>
    <row r="90" spans="1:11" s="34" customFormat="1" ht="21" customHeight="1" hidden="1">
      <c r="A90" s="102"/>
      <c r="B90" s="162" t="s">
        <v>241</v>
      </c>
      <c r="C90" s="121">
        <v>0</v>
      </c>
      <c r="D90" s="121">
        <v>0</v>
      </c>
      <c r="E90" s="121">
        <v>0</v>
      </c>
      <c r="F90" s="121">
        <v>0</v>
      </c>
      <c r="G90" s="121">
        <v>0</v>
      </c>
      <c r="H90" s="3"/>
      <c r="I90" s="3"/>
      <c r="J90" s="3"/>
      <c r="K90" s="3"/>
    </row>
    <row r="91" spans="1:11" s="34" customFormat="1" ht="21" customHeight="1" hidden="1">
      <c r="A91" s="102"/>
      <c r="B91" s="162" t="s">
        <v>242</v>
      </c>
      <c r="C91" s="121">
        <v>0</v>
      </c>
      <c r="D91" s="121">
        <v>0</v>
      </c>
      <c r="E91" s="121">
        <v>0</v>
      </c>
      <c r="F91" s="121">
        <v>0</v>
      </c>
      <c r="G91" s="121">
        <v>0</v>
      </c>
      <c r="H91" s="3"/>
      <c r="I91" s="3"/>
      <c r="J91" s="3"/>
      <c r="K91" s="3"/>
    </row>
    <row r="92" spans="1:11" s="34" customFormat="1" ht="21" customHeight="1" hidden="1">
      <c r="A92" s="102"/>
      <c r="B92" s="162" t="s">
        <v>243</v>
      </c>
      <c r="C92" s="121">
        <v>0</v>
      </c>
      <c r="D92" s="121">
        <v>0</v>
      </c>
      <c r="E92" s="121">
        <v>0</v>
      </c>
      <c r="F92" s="121">
        <v>0</v>
      </c>
      <c r="G92" s="121">
        <v>0</v>
      </c>
      <c r="H92" s="3"/>
      <c r="I92" s="3"/>
      <c r="J92" s="3"/>
      <c r="K92" s="3"/>
    </row>
    <row r="93" spans="1:11" s="34" customFormat="1" ht="21" customHeight="1" hidden="1">
      <c r="A93" s="102"/>
      <c r="B93" s="162" t="s">
        <v>244</v>
      </c>
      <c r="C93" s="121">
        <v>0</v>
      </c>
      <c r="D93" s="121">
        <v>0</v>
      </c>
      <c r="E93" s="121">
        <v>0</v>
      </c>
      <c r="F93" s="121">
        <v>0</v>
      </c>
      <c r="G93" s="121">
        <v>0</v>
      </c>
      <c r="H93" s="3"/>
      <c r="I93" s="3"/>
      <c r="J93" s="3"/>
      <c r="K93" s="3"/>
    </row>
    <row r="94" spans="1:11" s="34" customFormat="1" ht="21" customHeight="1" hidden="1">
      <c r="A94" s="102"/>
      <c r="B94" s="162" t="s">
        <v>245</v>
      </c>
      <c r="C94" s="121">
        <v>0</v>
      </c>
      <c r="D94" s="121">
        <v>0</v>
      </c>
      <c r="E94" s="121">
        <v>0</v>
      </c>
      <c r="F94" s="121">
        <v>0</v>
      </c>
      <c r="G94" s="121">
        <v>0</v>
      </c>
      <c r="H94" s="3"/>
      <c r="I94" s="3"/>
      <c r="J94" s="3"/>
      <c r="K94" s="3"/>
    </row>
    <row r="95" spans="1:11" s="34" customFormat="1" ht="21" customHeight="1" hidden="1">
      <c r="A95" s="102"/>
      <c r="B95" s="162" t="s">
        <v>246</v>
      </c>
      <c r="C95" s="121">
        <v>0</v>
      </c>
      <c r="D95" s="121">
        <v>0</v>
      </c>
      <c r="E95" s="121">
        <v>0</v>
      </c>
      <c r="F95" s="121">
        <v>0</v>
      </c>
      <c r="G95" s="121">
        <v>0</v>
      </c>
      <c r="H95" s="3"/>
      <c r="I95" s="3"/>
      <c r="J95" s="3"/>
      <c r="K95" s="3"/>
    </row>
    <row r="96" spans="1:11" s="34" customFormat="1" ht="21" customHeight="1" hidden="1">
      <c r="A96" s="102"/>
      <c r="B96" s="162" t="s">
        <v>247</v>
      </c>
      <c r="C96" s="121">
        <v>0</v>
      </c>
      <c r="D96" s="121">
        <v>0</v>
      </c>
      <c r="E96" s="121">
        <v>0</v>
      </c>
      <c r="F96" s="121">
        <v>0</v>
      </c>
      <c r="G96" s="121">
        <v>0</v>
      </c>
      <c r="H96" s="3"/>
      <c r="I96" s="3"/>
      <c r="J96" s="3"/>
      <c r="K96" s="3"/>
    </row>
    <row r="97" spans="1:11" s="34" customFormat="1" ht="21" customHeight="1" hidden="1" thickBot="1">
      <c r="A97" s="102"/>
      <c r="B97" s="163" t="s">
        <v>338</v>
      </c>
      <c r="C97" s="121">
        <v>0</v>
      </c>
      <c r="D97" s="121">
        <v>0</v>
      </c>
      <c r="E97" s="121">
        <v>0</v>
      </c>
      <c r="F97" s="121">
        <v>0</v>
      </c>
      <c r="G97" s="121">
        <v>0</v>
      </c>
      <c r="H97" s="3"/>
      <c r="I97" s="3"/>
      <c r="J97" s="3"/>
      <c r="K97" s="3"/>
    </row>
    <row r="98" spans="1:11" s="34" customFormat="1" ht="21" customHeight="1" hidden="1">
      <c r="A98" s="102"/>
      <c r="B98" s="3"/>
      <c r="C98" s="3"/>
      <c r="D98" s="3"/>
      <c r="E98" s="3"/>
      <c r="F98" s="3"/>
      <c r="G98" s="3"/>
      <c r="H98" s="3"/>
      <c r="I98" s="3"/>
      <c r="J98" s="3"/>
      <c r="K98" s="3"/>
    </row>
    <row r="99" spans="1:11" s="34" customFormat="1" ht="21" customHeight="1" hidden="1" thickBot="1">
      <c r="A99" s="102"/>
      <c r="B99" s="3"/>
      <c r="C99" s="3"/>
      <c r="D99" s="3"/>
      <c r="E99" s="3"/>
      <c r="F99" s="3"/>
      <c r="G99" s="3"/>
      <c r="H99" s="3"/>
      <c r="I99" s="3"/>
      <c r="J99" s="3"/>
      <c r="K99" s="3"/>
    </row>
    <row r="100" spans="1:11" s="34" customFormat="1" ht="21" customHeight="1" hidden="1">
      <c r="A100" s="102"/>
      <c r="B100" s="232" t="s">
        <v>351</v>
      </c>
      <c r="C100" s="235" t="s">
        <v>339</v>
      </c>
      <c r="D100" s="235" t="s">
        <v>340</v>
      </c>
      <c r="E100" s="252" t="s">
        <v>341</v>
      </c>
      <c r="F100" s="252" t="s">
        <v>342</v>
      </c>
      <c r="G100" s="235" t="s">
        <v>343</v>
      </c>
      <c r="H100" s="235" t="s">
        <v>344</v>
      </c>
      <c r="I100" s="235" t="s">
        <v>345</v>
      </c>
      <c r="J100" s="235" t="s">
        <v>346</v>
      </c>
      <c r="K100" s="230" t="s">
        <v>347</v>
      </c>
    </row>
    <row r="101" spans="1:11" s="34" customFormat="1" ht="21" customHeight="1" hidden="1">
      <c r="A101" s="102"/>
      <c r="B101" s="233"/>
      <c r="C101" s="236"/>
      <c r="D101" s="236"/>
      <c r="E101" s="253"/>
      <c r="F101" s="253"/>
      <c r="G101" s="236"/>
      <c r="H101" s="236"/>
      <c r="I101" s="236"/>
      <c r="J101" s="236"/>
      <c r="K101" s="231"/>
    </row>
    <row r="102" spans="1:11" s="34" customFormat="1" ht="21" customHeight="1" hidden="1">
      <c r="A102" s="102"/>
      <c r="B102" s="234"/>
      <c r="C102" s="157" t="s">
        <v>236</v>
      </c>
      <c r="D102" s="157" t="s">
        <v>232</v>
      </c>
      <c r="E102" s="157" t="s">
        <v>233</v>
      </c>
      <c r="F102" s="157" t="s">
        <v>234</v>
      </c>
      <c r="G102" s="157" t="s">
        <v>235</v>
      </c>
      <c r="H102" s="157" t="s">
        <v>237</v>
      </c>
      <c r="I102" s="157" t="s">
        <v>238</v>
      </c>
      <c r="J102" s="157" t="s">
        <v>239</v>
      </c>
      <c r="K102" s="157" t="s">
        <v>348</v>
      </c>
    </row>
    <row r="103" spans="1:11" s="34" customFormat="1" ht="21" customHeight="1" hidden="1">
      <c r="A103" s="102"/>
      <c r="B103" s="160" t="s">
        <v>254</v>
      </c>
      <c r="C103" s="121">
        <v>0</v>
      </c>
      <c r="D103" s="121">
        <v>0</v>
      </c>
      <c r="E103" s="121">
        <v>0</v>
      </c>
      <c r="F103" s="121">
        <v>0</v>
      </c>
      <c r="G103" s="121">
        <v>0</v>
      </c>
      <c r="H103" s="121">
        <v>0</v>
      </c>
      <c r="I103" s="121">
        <v>0</v>
      </c>
      <c r="J103" s="121">
        <v>0</v>
      </c>
      <c r="K103" s="121">
        <v>0</v>
      </c>
    </row>
    <row r="104" spans="1:11" s="34" customFormat="1" ht="21" customHeight="1" hidden="1">
      <c r="A104" s="102"/>
      <c r="B104" s="162" t="s">
        <v>255</v>
      </c>
      <c r="C104" s="121">
        <v>0</v>
      </c>
      <c r="D104" s="121">
        <v>0</v>
      </c>
      <c r="E104" s="121">
        <v>0</v>
      </c>
      <c r="F104" s="121">
        <v>0</v>
      </c>
      <c r="G104" s="121">
        <v>0</v>
      </c>
      <c r="H104" s="121">
        <v>0</v>
      </c>
      <c r="I104" s="121">
        <v>0</v>
      </c>
      <c r="J104" s="121">
        <v>0</v>
      </c>
      <c r="K104" s="121">
        <v>0</v>
      </c>
    </row>
    <row r="105" spans="1:11" s="34" customFormat="1" ht="21" customHeight="1" hidden="1">
      <c r="A105" s="102"/>
      <c r="B105" s="162" t="s">
        <v>256</v>
      </c>
      <c r="C105" s="121">
        <v>0</v>
      </c>
      <c r="D105" s="121">
        <v>0</v>
      </c>
      <c r="E105" s="121">
        <v>0</v>
      </c>
      <c r="F105" s="121">
        <v>0</v>
      </c>
      <c r="G105" s="121">
        <v>0</v>
      </c>
      <c r="H105" s="121">
        <v>0</v>
      </c>
      <c r="I105" s="121">
        <v>0</v>
      </c>
      <c r="J105" s="121">
        <v>0</v>
      </c>
      <c r="K105" s="121">
        <v>0</v>
      </c>
    </row>
    <row r="106" spans="1:11" s="34" customFormat="1" ht="21" customHeight="1" hidden="1">
      <c r="A106" s="102"/>
      <c r="B106" s="162" t="s">
        <v>243</v>
      </c>
      <c r="C106" s="121">
        <v>0</v>
      </c>
      <c r="D106" s="121">
        <v>0</v>
      </c>
      <c r="E106" s="121">
        <v>0</v>
      </c>
      <c r="F106" s="121">
        <v>0</v>
      </c>
      <c r="G106" s="121">
        <v>0</v>
      </c>
      <c r="H106" s="121">
        <v>0</v>
      </c>
      <c r="I106" s="121">
        <v>0</v>
      </c>
      <c r="J106" s="121">
        <v>0</v>
      </c>
      <c r="K106" s="121">
        <v>0</v>
      </c>
    </row>
    <row r="107" spans="1:11" s="34" customFormat="1" ht="21" customHeight="1" hidden="1">
      <c r="A107" s="102"/>
      <c r="B107" s="162" t="s">
        <v>257</v>
      </c>
      <c r="C107" s="121">
        <v>0</v>
      </c>
      <c r="D107" s="121">
        <v>0</v>
      </c>
      <c r="E107" s="121">
        <v>0</v>
      </c>
      <c r="F107" s="121">
        <v>0</v>
      </c>
      <c r="G107" s="121">
        <v>0</v>
      </c>
      <c r="H107" s="121">
        <v>0</v>
      </c>
      <c r="I107" s="121">
        <v>0</v>
      </c>
      <c r="J107" s="121">
        <v>0</v>
      </c>
      <c r="K107" s="121">
        <v>0</v>
      </c>
    </row>
    <row r="108" spans="1:11" s="34" customFormat="1" ht="21" customHeight="1" hidden="1">
      <c r="A108" s="102"/>
      <c r="B108" s="162" t="s">
        <v>258</v>
      </c>
      <c r="C108" s="121">
        <v>0</v>
      </c>
      <c r="D108" s="121">
        <v>0</v>
      </c>
      <c r="E108" s="121">
        <v>0</v>
      </c>
      <c r="F108" s="121">
        <v>0</v>
      </c>
      <c r="G108" s="121">
        <v>0</v>
      </c>
      <c r="H108" s="121">
        <v>0</v>
      </c>
      <c r="I108" s="121">
        <v>0</v>
      </c>
      <c r="J108" s="121">
        <v>0</v>
      </c>
      <c r="K108" s="121">
        <v>0</v>
      </c>
    </row>
    <row r="109" spans="1:11" s="34" customFormat="1" ht="21" customHeight="1" hidden="1">
      <c r="A109" s="102"/>
      <c r="B109" s="162" t="s">
        <v>245</v>
      </c>
      <c r="C109" s="121">
        <v>0</v>
      </c>
      <c r="D109" s="121">
        <v>0</v>
      </c>
      <c r="E109" s="121">
        <v>0</v>
      </c>
      <c r="F109" s="121">
        <v>0</v>
      </c>
      <c r="G109" s="121">
        <v>0</v>
      </c>
      <c r="H109" s="121">
        <v>0</v>
      </c>
      <c r="I109" s="121">
        <v>0</v>
      </c>
      <c r="J109" s="121">
        <v>0</v>
      </c>
      <c r="K109" s="121">
        <v>0</v>
      </c>
    </row>
    <row r="110" spans="1:11" s="34" customFormat="1" ht="21" customHeight="1" hidden="1">
      <c r="A110" s="102"/>
      <c r="B110" s="162" t="s">
        <v>246</v>
      </c>
      <c r="C110" s="121">
        <v>0</v>
      </c>
      <c r="D110" s="121">
        <v>0</v>
      </c>
      <c r="E110" s="121">
        <v>0</v>
      </c>
      <c r="F110" s="121">
        <v>0</v>
      </c>
      <c r="G110" s="121">
        <v>0</v>
      </c>
      <c r="H110" s="121">
        <v>0</v>
      </c>
      <c r="I110" s="121">
        <v>0</v>
      </c>
      <c r="J110" s="121">
        <v>0</v>
      </c>
      <c r="K110" s="121">
        <v>0</v>
      </c>
    </row>
    <row r="111" spans="1:11" s="34" customFormat="1" ht="21" customHeight="1" hidden="1">
      <c r="A111" s="102"/>
      <c r="B111" s="166" t="s">
        <v>247</v>
      </c>
      <c r="C111" s="121">
        <v>0</v>
      </c>
      <c r="D111" s="121">
        <v>0</v>
      </c>
      <c r="E111" s="121">
        <v>0</v>
      </c>
      <c r="F111" s="121">
        <v>0</v>
      </c>
      <c r="G111" s="121">
        <v>0</v>
      </c>
      <c r="H111" s="121">
        <v>0</v>
      </c>
      <c r="I111" s="121">
        <v>0</v>
      </c>
      <c r="J111" s="121">
        <v>0</v>
      </c>
      <c r="K111" s="121">
        <v>0</v>
      </c>
    </row>
    <row r="112" spans="1:11" s="34" customFormat="1" ht="21" customHeight="1" hidden="1" thickBot="1">
      <c r="A112" s="102"/>
      <c r="B112" s="163" t="s">
        <v>349</v>
      </c>
      <c r="C112" s="164">
        <f aca="true" t="shared" si="12" ref="C112:K112">SUM(C103:C111)</f>
        <v>0</v>
      </c>
      <c r="D112" s="164">
        <f t="shared" si="12"/>
        <v>0</v>
      </c>
      <c r="E112" s="164">
        <f t="shared" si="12"/>
        <v>0</v>
      </c>
      <c r="F112" s="164">
        <f t="shared" si="12"/>
        <v>0</v>
      </c>
      <c r="G112" s="164">
        <f t="shared" si="12"/>
        <v>0</v>
      </c>
      <c r="H112" s="164">
        <f t="shared" si="12"/>
        <v>0</v>
      </c>
      <c r="I112" s="164">
        <f t="shared" si="12"/>
        <v>0</v>
      </c>
      <c r="J112" s="164">
        <f t="shared" si="12"/>
        <v>0</v>
      </c>
      <c r="K112" s="164">
        <f t="shared" si="12"/>
        <v>0</v>
      </c>
    </row>
    <row r="113" s="34" customFormat="1" ht="21" customHeight="1" hidden="1">
      <c r="A113" s="102"/>
    </row>
    <row r="114" s="34" customFormat="1" ht="21" customHeight="1" hidden="1" thickBot="1">
      <c r="A114" s="102"/>
    </row>
    <row r="115" spans="1:6" s="34" customFormat="1" ht="33" customHeight="1" hidden="1">
      <c r="A115" s="102"/>
      <c r="B115" s="179" t="s">
        <v>352</v>
      </c>
      <c r="C115" s="180" t="s">
        <v>317</v>
      </c>
      <c r="E115" s="179" t="s">
        <v>353</v>
      </c>
      <c r="F115" s="180" t="s">
        <v>317</v>
      </c>
    </row>
    <row r="116" spans="1:11" s="34" customFormat="1" ht="12.95" customHeight="1" hidden="1">
      <c r="A116" s="102"/>
      <c r="B116" s="181" t="s">
        <v>318</v>
      </c>
      <c r="C116" s="190">
        <v>0</v>
      </c>
      <c r="D116" s="44"/>
      <c r="E116" s="185" t="s">
        <v>331</v>
      </c>
      <c r="F116" s="190">
        <v>0</v>
      </c>
      <c r="G116" s="44"/>
      <c r="H116" s="44"/>
      <c r="I116" s="44"/>
      <c r="J116" s="44"/>
      <c r="K116" s="44"/>
    </row>
    <row r="117" spans="2:6" ht="15.75" hidden="1">
      <c r="B117" s="182" t="s">
        <v>319</v>
      </c>
      <c r="C117" s="190">
        <v>0</v>
      </c>
      <c r="E117" s="186" t="s">
        <v>283</v>
      </c>
      <c r="F117" s="190">
        <v>0</v>
      </c>
    </row>
    <row r="118" spans="2:6" ht="15.75" hidden="1">
      <c r="B118" s="182" t="s">
        <v>320</v>
      </c>
      <c r="C118" s="190">
        <v>0</v>
      </c>
      <c r="E118" s="186" t="s">
        <v>285</v>
      </c>
      <c r="F118" s="190">
        <v>0</v>
      </c>
    </row>
    <row r="119" spans="2:6" ht="15.75" hidden="1">
      <c r="B119" s="182" t="s">
        <v>321</v>
      </c>
      <c r="C119" s="190">
        <v>0</v>
      </c>
      <c r="E119" s="186" t="s">
        <v>288</v>
      </c>
      <c r="F119" s="190">
        <v>0</v>
      </c>
    </row>
    <row r="120" spans="2:6" ht="15.75" hidden="1">
      <c r="B120" s="182" t="s">
        <v>322</v>
      </c>
      <c r="C120" s="190">
        <v>0</v>
      </c>
      <c r="E120" s="182" t="s">
        <v>290</v>
      </c>
      <c r="F120" s="190">
        <v>0</v>
      </c>
    </row>
    <row r="121" spans="2:6" ht="15.75" hidden="1">
      <c r="B121" s="182" t="s">
        <v>323</v>
      </c>
      <c r="C121" s="190">
        <v>0</v>
      </c>
      <c r="E121" s="187" t="s">
        <v>293</v>
      </c>
      <c r="F121" s="190">
        <v>0</v>
      </c>
    </row>
    <row r="122" spans="2:6" ht="15.75" hidden="1">
      <c r="B122" s="182" t="s">
        <v>324</v>
      </c>
      <c r="C122" s="190">
        <v>0</v>
      </c>
      <c r="E122" s="186" t="s">
        <v>283</v>
      </c>
      <c r="F122" s="190">
        <v>0</v>
      </c>
    </row>
    <row r="123" spans="2:6" ht="15.75" hidden="1">
      <c r="B123" s="181" t="s">
        <v>325</v>
      </c>
      <c r="C123" s="190">
        <v>0</v>
      </c>
      <c r="E123" s="186" t="s">
        <v>285</v>
      </c>
      <c r="F123" s="190">
        <v>0</v>
      </c>
    </row>
    <row r="124" spans="1:11" s="34" customFormat="1" ht="18" customHeight="1" hidden="1">
      <c r="A124" s="3"/>
      <c r="B124" s="182" t="s">
        <v>319</v>
      </c>
      <c r="C124" s="190">
        <v>0</v>
      </c>
      <c r="D124" s="105"/>
      <c r="E124" s="186" t="s">
        <v>288</v>
      </c>
      <c r="F124" s="190">
        <v>0</v>
      </c>
      <c r="G124" s="105"/>
      <c r="H124" s="105"/>
      <c r="I124" s="105"/>
      <c r="J124" s="105"/>
      <c r="K124" s="105"/>
    </row>
    <row r="125" spans="2:6" ht="15.75" hidden="1">
      <c r="B125" s="182" t="s">
        <v>320</v>
      </c>
      <c r="C125" s="190">
        <v>0</v>
      </c>
      <c r="E125" s="182" t="s">
        <v>290</v>
      </c>
      <c r="F125" s="190">
        <v>0</v>
      </c>
    </row>
    <row r="126" spans="2:6" ht="15.75" hidden="1">
      <c r="B126" s="182" t="s">
        <v>321</v>
      </c>
      <c r="C126" s="190">
        <v>0</v>
      </c>
      <c r="E126" s="188" t="s">
        <v>332</v>
      </c>
      <c r="F126" s="190">
        <v>0</v>
      </c>
    </row>
    <row r="127" spans="2:6" ht="15.75" hidden="1">
      <c r="B127" s="182" t="s">
        <v>322</v>
      </c>
      <c r="C127" s="190">
        <v>0</v>
      </c>
      <c r="E127" s="188" t="s">
        <v>304</v>
      </c>
      <c r="F127" s="190">
        <v>0</v>
      </c>
    </row>
    <row r="128" spans="1:41" ht="12.95" customHeight="1" hidden="1" thickBot="1">
      <c r="A128" s="87"/>
      <c r="B128" s="182" t="s">
        <v>326</v>
      </c>
      <c r="C128" s="190">
        <v>0</v>
      </c>
      <c r="D128" s="45"/>
      <c r="E128" s="189" t="s">
        <v>308</v>
      </c>
      <c r="F128" s="190">
        <v>0</v>
      </c>
      <c r="G128" s="45"/>
      <c r="H128" s="45"/>
      <c r="I128" s="45"/>
      <c r="J128" s="45"/>
      <c r="K128" s="45"/>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row>
    <row r="129" spans="2:11" ht="18" customHeight="1" hidden="1">
      <c r="B129" s="181" t="s">
        <v>327</v>
      </c>
      <c r="C129" s="190">
        <v>0</v>
      </c>
      <c r="D129" s="45"/>
      <c r="G129" s="45"/>
      <c r="H129" s="45"/>
      <c r="I129" s="45"/>
      <c r="J129" s="45"/>
      <c r="K129" s="45"/>
    </row>
    <row r="130" spans="1:11" ht="18" customHeight="1" hidden="1">
      <c r="A130" s="1"/>
      <c r="B130" s="183" t="s">
        <v>328</v>
      </c>
      <c r="C130" s="190">
        <v>0</v>
      </c>
      <c r="D130" s="45"/>
      <c r="G130" s="45"/>
      <c r="H130" s="45"/>
      <c r="I130" s="45"/>
      <c r="J130" s="45"/>
      <c r="K130" s="45"/>
    </row>
    <row r="131" spans="2:11" ht="18" customHeight="1" hidden="1">
      <c r="B131" s="183" t="s">
        <v>329</v>
      </c>
      <c r="C131" s="190">
        <v>0</v>
      </c>
      <c r="D131" s="45"/>
      <c r="G131" s="45"/>
      <c r="H131" s="45"/>
      <c r="I131" s="45"/>
      <c r="J131" s="45"/>
      <c r="K131" s="45"/>
    </row>
    <row r="132" spans="1:11" ht="16.5" hidden="1" thickBot="1">
      <c r="A132" s="33"/>
      <c r="B132" s="184" t="s">
        <v>330</v>
      </c>
      <c r="C132" s="190">
        <v>0</v>
      </c>
      <c r="D132" s="45"/>
      <c r="G132" s="45"/>
      <c r="H132" s="45"/>
      <c r="I132" s="45"/>
      <c r="J132" s="45"/>
      <c r="K132" s="45"/>
    </row>
    <row r="133" spans="1:11" ht="15.75" hidden="1">
      <c r="A133" s="33"/>
      <c r="D133" s="45"/>
      <c r="E133" s="45"/>
      <c r="F133" s="45"/>
      <c r="G133" s="45"/>
      <c r="H133" s="45"/>
      <c r="I133" s="45"/>
      <c r="J133" s="45"/>
      <c r="K133" s="45"/>
    </row>
    <row r="134" spans="5:11" ht="16.5" hidden="1" thickBot="1">
      <c r="E134" s="45"/>
      <c r="F134" s="45"/>
      <c r="G134" s="45"/>
      <c r="H134" s="45"/>
      <c r="I134" s="45"/>
      <c r="J134" s="45"/>
      <c r="K134" s="45"/>
    </row>
    <row r="135" spans="2:11" ht="15.75" hidden="1">
      <c r="B135" s="232" t="s">
        <v>354</v>
      </c>
      <c r="C135" s="235" t="s">
        <v>333</v>
      </c>
      <c r="D135" s="235" t="s">
        <v>334</v>
      </c>
      <c r="E135" s="252" t="s">
        <v>335</v>
      </c>
      <c r="F135" s="235" t="s">
        <v>336</v>
      </c>
      <c r="G135" s="230" t="s">
        <v>337</v>
      </c>
      <c r="I135" s="45"/>
      <c r="J135" s="45"/>
      <c r="K135" s="45"/>
    </row>
    <row r="136" spans="2:11" ht="15.75" hidden="1">
      <c r="B136" s="233"/>
      <c r="C136" s="236"/>
      <c r="D136" s="236"/>
      <c r="E136" s="253"/>
      <c r="F136" s="236"/>
      <c r="G136" s="231"/>
      <c r="I136" s="45"/>
      <c r="J136" s="45"/>
      <c r="K136" s="45"/>
    </row>
    <row r="137" spans="2:11" ht="15.75" hidden="1">
      <c r="B137" s="234"/>
      <c r="C137" s="157" t="s">
        <v>236</v>
      </c>
      <c r="D137" s="157" t="s">
        <v>232</v>
      </c>
      <c r="E137" s="157" t="s">
        <v>233</v>
      </c>
      <c r="F137" s="157" t="s">
        <v>234</v>
      </c>
      <c r="G137" s="157" t="s">
        <v>235</v>
      </c>
      <c r="I137" s="45"/>
      <c r="J137" s="45"/>
      <c r="K137" s="45"/>
    </row>
    <row r="138" spans="2:11" ht="15.75" hidden="1">
      <c r="B138" s="160" t="s">
        <v>240</v>
      </c>
      <c r="C138" s="161">
        <f>'[1]7100'!D5+'[2]7100'!D5+'[3]7100'!D5+'[4]7100'!D5</f>
        <v>3078085.55</v>
      </c>
      <c r="D138" s="161">
        <f>'[1]7100'!E5+'[2]7100'!E5+'[3]7100'!E5+'[4]7100'!E5</f>
        <v>-41440.6</v>
      </c>
      <c r="E138" s="161">
        <f>'[1]7100'!F5+'[2]7100'!F5+'[3]7100'!F5+'[4]7100'!F5</f>
        <v>3036644.95</v>
      </c>
      <c r="F138" s="161">
        <f>'[1]7100'!G5+'[2]7100'!G5+'[3]7100'!G5+'[4]7100'!G5</f>
        <v>3036644.95</v>
      </c>
      <c r="G138" s="161">
        <f>'[1]7100'!H5+'[2]7100'!H5+'[3]7100'!H5+'[4]7100'!H5</f>
        <v>0</v>
      </c>
      <c r="I138" s="45"/>
      <c r="J138" s="45"/>
      <c r="K138" s="45"/>
    </row>
    <row r="139" spans="2:11" ht="15.75" hidden="1">
      <c r="B139" s="162" t="s">
        <v>241</v>
      </c>
      <c r="C139" s="161">
        <f>'[1]7100'!D6+'[2]7100'!D6+'[3]7100'!D6+'[4]7100'!D6</f>
        <v>3339850.8600000003</v>
      </c>
      <c r="D139" s="161">
        <f>'[1]7100'!E6+'[2]7100'!E6+'[3]7100'!E6+'[4]7100'!E6</f>
        <v>-225483.05</v>
      </c>
      <c r="E139" s="161">
        <f>'[1]7100'!F6+'[2]7100'!F6+'[3]7100'!F6+'[4]7100'!F6</f>
        <v>3114367.8</v>
      </c>
      <c r="F139" s="161">
        <f>'[1]7100'!G6+'[2]7100'!G6+'[3]7100'!G6+'[4]7100'!G6</f>
        <v>2949102.49</v>
      </c>
      <c r="G139" s="161">
        <f>'[1]7100'!H6+'[2]7100'!H6+'[3]7100'!H6+'[4]7100'!H6</f>
        <v>165265.31</v>
      </c>
      <c r="I139" s="45"/>
      <c r="J139" s="45"/>
      <c r="K139" s="45"/>
    </row>
    <row r="140" spans="2:11" ht="15.75" hidden="1">
      <c r="B140" s="162" t="s">
        <v>242</v>
      </c>
      <c r="C140" s="161">
        <f>'[1]7100'!D7+'[2]7100'!D7+'[3]7100'!D7+'[4]7100'!D7</f>
        <v>189423.33</v>
      </c>
      <c r="D140" s="161">
        <f>'[1]7100'!E7+'[2]7100'!E7+'[3]7100'!E7+'[4]7100'!E7</f>
        <v>-40.83</v>
      </c>
      <c r="E140" s="161">
        <f>'[1]7100'!F7+'[2]7100'!F7+'[3]7100'!F7+'[4]7100'!F7</f>
        <v>189382.5</v>
      </c>
      <c r="F140" s="161">
        <f>'[1]7100'!G7+'[2]7100'!G7+'[3]7100'!G7+'[4]7100'!G7</f>
        <v>189382.5</v>
      </c>
      <c r="G140" s="161">
        <f>'[1]7100'!H7+'[2]7100'!H7+'[3]7100'!H7+'[4]7100'!H7</f>
        <v>0</v>
      </c>
      <c r="I140" s="45"/>
      <c r="J140" s="45"/>
      <c r="K140" s="45"/>
    </row>
    <row r="141" spans="2:11" ht="15.75" hidden="1">
      <c r="B141" s="162" t="s">
        <v>243</v>
      </c>
      <c r="C141" s="161">
        <f>'[1]7100'!D8+'[2]7100'!D8+'[3]7100'!D8+'[4]7100'!D8</f>
        <v>254021.16999999998</v>
      </c>
      <c r="D141" s="161">
        <f>'[1]7100'!E8+'[2]7100'!E8+'[3]7100'!E8+'[4]7100'!E8</f>
        <v>-6910.1</v>
      </c>
      <c r="E141" s="161">
        <f>'[1]7100'!F8+'[2]7100'!F8+'[3]7100'!F8+'[4]7100'!F8</f>
        <v>247111.06999999998</v>
      </c>
      <c r="F141" s="161">
        <f>'[1]7100'!G8+'[2]7100'!G8+'[3]7100'!G8+'[4]7100'!G8</f>
        <v>247111.06999999998</v>
      </c>
      <c r="G141" s="161">
        <f>'[1]7100'!H8+'[2]7100'!H8+'[3]7100'!H8+'[4]7100'!H8</f>
        <v>0</v>
      </c>
      <c r="I141" s="45"/>
      <c r="J141" s="45"/>
      <c r="K141" s="45"/>
    </row>
    <row r="142" spans="2:11" ht="15.75" hidden="1">
      <c r="B142" s="162" t="s">
        <v>244</v>
      </c>
      <c r="C142" s="161">
        <f>'[1]7100'!D9+'[2]7100'!D9+'[3]7100'!D9+'[4]7100'!D9</f>
        <v>8420220.32</v>
      </c>
      <c r="D142" s="161">
        <f>'[1]7100'!E9+'[2]7100'!E9+'[3]7100'!E9+'[4]7100'!E9</f>
        <v>-1248385.88</v>
      </c>
      <c r="E142" s="161">
        <f>'[1]7100'!F9+'[2]7100'!F9+'[3]7100'!F9+'[4]7100'!F9</f>
        <v>7171834.44</v>
      </c>
      <c r="F142" s="161">
        <f>'[1]7100'!G9+'[2]7100'!G9+'[3]7100'!G9+'[4]7100'!G9</f>
        <v>6905283.69</v>
      </c>
      <c r="G142" s="161">
        <f>'[1]7100'!H9+'[2]7100'!H9+'[3]7100'!H9+'[4]7100'!H9</f>
        <v>266550.75</v>
      </c>
      <c r="I142" s="45"/>
      <c r="J142" s="45"/>
      <c r="K142" s="45"/>
    </row>
    <row r="143" spans="2:11" ht="15.75" hidden="1">
      <c r="B143" s="162" t="s">
        <v>245</v>
      </c>
      <c r="C143" s="161">
        <f>'[1]7100'!D10+'[2]7100'!D10+'[3]7100'!D10+'[4]7100'!D10</f>
        <v>0</v>
      </c>
      <c r="D143" s="161">
        <f>'[1]7100'!E10+'[2]7100'!E10+'[3]7100'!E10+'[4]7100'!E10</f>
        <v>0</v>
      </c>
      <c r="E143" s="161">
        <f>'[1]7100'!F10+'[2]7100'!F10+'[3]7100'!F10+'[4]7100'!F10</f>
        <v>0</v>
      </c>
      <c r="F143" s="161">
        <f>'[1]7100'!G10+'[2]7100'!G10+'[3]7100'!G10+'[4]7100'!G10</f>
        <v>0</v>
      </c>
      <c r="G143" s="161">
        <f>'[1]7100'!H10+'[2]7100'!H10+'[3]7100'!H10+'[4]7100'!H10</f>
        <v>0</v>
      </c>
      <c r="I143" s="45"/>
      <c r="J143" s="45"/>
      <c r="K143" s="45"/>
    </row>
    <row r="144" spans="2:11" ht="15.75" hidden="1">
      <c r="B144" s="162" t="s">
        <v>246</v>
      </c>
      <c r="C144" s="161">
        <f>'[1]7100'!D11+'[2]7100'!D11+'[3]7100'!D11+'[4]7100'!D11</f>
        <v>0</v>
      </c>
      <c r="D144" s="161">
        <f>'[1]7100'!E11+'[2]7100'!E11+'[3]7100'!E11+'[4]7100'!E11</f>
        <v>0</v>
      </c>
      <c r="E144" s="161">
        <f>'[1]7100'!F11+'[2]7100'!F11+'[3]7100'!F11+'[4]7100'!F11</f>
        <v>0</v>
      </c>
      <c r="F144" s="161">
        <f>'[1]7100'!G11+'[2]7100'!G11+'[3]7100'!G11+'[4]7100'!G11</f>
        <v>0</v>
      </c>
      <c r="G144" s="161">
        <f>'[1]7100'!H11+'[2]7100'!H11+'[3]7100'!H11+'[4]7100'!H11</f>
        <v>0</v>
      </c>
      <c r="I144" s="45"/>
      <c r="J144" s="45"/>
      <c r="K144" s="45"/>
    </row>
    <row r="145" spans="2:11" ht="15.75" hidden="1">
      <c r="B145" s="162" t="s">
        <v>247</v>
      </c>
      <c r="C145" s="161">
        <f>'[1]7100'!D12+'[2]7100'!D12+'[3]7100'!D12+'[4]7100'!D12</f>
        <v>0</v>
      </c>
      <c r="D145" s="161">
        <f>'[1]7100'!E12+'[2]7100'!E12+'[3]7100'!E12+'[4]7100'!E12</f>
        <v>0</v>
      </c>
      <c r="E145" s="161">
        <f>'[1]7100'!F12+'[2]7100'!F12+'[3]7100'!F12+'[4]7100'!F12</f>
        <v>0</v>
      </c>
      <c r="F145" s="161">
        <f>'[1]7100'!G12+'[2]7100'!G12+'[3]7100'!G12+'[4]7100'!G12</f>
        <v>0</v>
      </c>
      <c r="G145" s="161">
        <f>'[1]7100'!H12+'[2]7100'!H12+'[3]7100'!H12+'[4]7100'!H12</f>
        <v>0</v>
      </c>
      <c r="I145" s="45"/>
      <c r="J145" s="45"/>
      <c r="K145" s="45"/>
    </row>
    <row r="146" spans="2:11" ht="16.5" hidden="1" thickBot="1">
      <c r="B146" s="163" t="s">
        <v>338</v>
      </c>
      <c r="C146" s="164">
        <f>SUM(C138:C145)</f>
        <v>15281601.23</v>
      </c>
      <c r="D146" s="164">
        <f>SUM(D138:D145)</f>
        <v>-1522260.46</v>
      </c>
      <c r="E146" s="164">
        <f>SUM(E138:E145)</f>
        <v>13759340.760000002</v>
      </c>
      <c r="F146" s="164">
        <f>SUM(F138:F145)</f>
        <v>13327524.700000001</v>
      </c>
      <c r="G146" s="165">
        <f>SUM(G138:G145)</f>
        <v>431816.06</v>
      </c>
      <c r="I146" s="45"/>
      <c r="J146" s="45"/>
      <c r="K146" s="45"/>
    </row>
    <row r="147" spans="10:11" ht="15.75" hidden="1">
      <c r="J147" s="45"/>
      <c r="K147" s="45"/>
    </row>
    <row r="148" spans="10:11" ht="16.5" hidden="1" thickBot="1">
      <c r="J148" s="45"/>
      <c r="K148" s="45"/>
    </row>
    <row r="149" spans="2:11" ht="12.75" hidden="1">
      <c r="B149" s="232" t="s">
        <v>355</v>
      </c>
      <c r="C149" s="235" t="s">
        <v>339</v>
      </c>
      <c r="D149" s="235" t="s">
        <v>340</v>
      </c>
      <c r="E149" s="252" t="s">
        <v>341</v>
      </c>
      <c r="F149" s="252" t="s">
        <v>342</v>
      </c>
      <c r="G149" s="235" t="s">
        <v>343</v>
      </c>
      <c r="H149" s="235" t="s">
        <v>344</v>
      </c>
      <c r="I149" s="235" t="s">
        <v>345</v>
      </c>
      <c r="J149" s="235" t="s">
        <v>346</v>
      </c>
      <c r="K149" s="230" t="s">
        <v>347</v>
      </c>
    </row>
    <row r="150" spans="2:11" ht="12.75" hidden="1">
      <c r="B150" s="233"/>
      <c r="C150" s="236"/>
      <c r="D150" s="236"/>
      <c r="E150" s="253"/>
      <c r="F150" s="253"/>
      <c r="G150" s="236"/>
      <c r="H150" s="236"/>
      <c r="I150" s="236"/>
      <c r="J150" s="236"/>
      <c r="K150" s="231"/>
    </row>
    <row r="151" spans="2:11" ht="12.75" hidden="1">
      <c r="B151" s="234"/>
      <c r="C151" s="157" t="s">
        <v>236</v>
      </c>
      <c r="D151" s="157" t="s">
        <v>232</v>
      </c>
      <c r="E151" s="157" t="s">
        <v>233</v>
      </c>
      <c r="F151" s="157" t="s">
        <v>234</v>
      </c>
      <c r="G151" s="157" t="s">
        <v>235</v>
      </c>
      <c r="H151" s="157" t="s">
        <v>237</v>
      </c>
      <c r="I151" s="157" t="s">
        <v>238</v>
      </c>
      <c r="J151" s="157" t="s">
        <v>239</v>
      </c>
      <c r="K151" s="157" t="s">
        <v>348</v>
      </c>
    </row>
    <row r="152" spans="2:15" ht="12.75" hidden="1">
      <c r="B152" s="160" t="s">
        <v>254</v>
      </c>
      <c r="C152" s="161">
        <f>'[1]7100'!D19+'[2]7100'!D19+'[3]7100'!D19+'[4]7100'!D19</f>
        <v>0</v>
      </c>
      <c r="D152" s="161">
        <f>'[1]7100'!E19+'[2]7100'!E19+'[3]7100'!E19+'[4]7100'!E19</f>
        <v>0</v>
      </c>
      <c r="E152" s="161">
        <f>'[1]7100'!F19+'[2]7100'!F19+'[3]7100'!F19+'[4]7100'!F19</f>
        <v>0</v>
      </c>
      <c r="F152" s="161">
        <f>'[1]7100'!G19+'[2]7100'!G19+'[3]7100'!G19+'[4]7100'!G19</f>
        <v>0</v>
      </c>
      <c r="G152" s="161">
        <f>'[1]7100'!H19+'[2]7100'!H19+'[3]7100'!H19+'[4]7100'!H19</f>
        <v>0</v>
      </c>
      <c r="H152" s="161">
        <f>'[1]7100'!I19+'[2]7100'!I19+'[3]7100'!I19+'[4]7100'!I19</f>
        <v>0</v>
      </c>
      <c r="I152" s="161">
        <f>'[1]7100'!J19+'[2]7100'!J19+'[3]7100'!J19+'[4]7100'!J19</f>
        <v>0</v>
      </c>
      <c r="J152" s="161">
        <f>'[1]7100'!K19+'[2]7100'!K19+'[3]7100'!K19+'[4]7100'!K19</f>
        <v>0</v>
      </c>
      <c r="K152" s="161">
        <f>'[1]7100'!L19+'[2]7100'!L19+'[3]7100'!L19+'[4]7100'!L19</f>
        <v>0</v>
      </c>
      <c r="L152" s="161">
        <f>'[6]7100'!M19+'[7]7100'!M19+'[5]7100'!M19+'[8]7100'!M19</f>
        <v>0</v>
      </c>
      <c r="M152" s="161">
        <f>'[6]7100'!N19+'[7]7100'!N19+'[5]7100'!N19+'[8]7100'!N19</f>
        <v>0</v>
      </c>
      <c r="N152" s="161">
        <f>'[6]7100'!O19+'[7]7100'!O19+'[5]7100'!O19+'[8]7100'!O19</f>
        <v>0</v>
      </c>
      <c r="O152" s="161">
        <f>'[6]7100'!P19+'[7]7100'!P19+'[5]7100'!P19+'[8]7100'!P19</f>
        <v>0</v>
      </c>
    </row>
    <row r="153" spans="2:15" ht="12.75" hidden="1">
      <c r="B153" s="162" t="s">
        <v>255</v>
      </c>
      <c r="C153" s="161">
        <f>'[1]7100'!D20+'[2]7100'!D20+'[3]7100'!D20+'[4]7100'!D20</f>
        <v>0</v>
      </c>
      <c r="D153" s="161">
        <f>'[1]7100'!E20+'[2]7100'!E20+'[3]7100'!E20+'[4]7100'!E20</f>
        <v>0</v>
      </c>
      <c r="E153" s="161">
        <f>'[1]7100'!F20+'[2]7100'!F20+'[3]7100'!F20+'[4]7100'!F20</f>
        <v>0</v>
      </c>
      <c r="F153" s="161">
        <f>'[1]7100'!G20+'[2]7100'!G20+'[3]7100'!G20+'[4]7100'!G20</f>
        <v>0</v>
      </c>
      <c r="G153" s="161">
        <f>'[1]7100'!H20+'[2]7100'!H20+'[3]7100'!H20+'[4]7100'!H20</f>
        <v>0</v>
      </c>
      <c r="H153" s="161">
        <f>'[1]7100'!I20+'[2]7100'!I20+'[3]7100'!I20+'[4]7100'!I20</f>
        <v>0</v>
      </c>
      <c r="I153" s="161">
        <f>'[1]7100'!J20+'[2]7100'!J20+'[3]7100'!J20+'[4]7100'!J20</f>
        <v>0</v>
      </c>
      <c r="J153" s="161">
        <f>'[1]7100'!K20+'[2]7100'!K20+'[3]7100'!K20+'[4]7100'!K20</f>
        <v>0</v>
      </c>
      <c r="K153" s="161">
        <f>'[1]7100'!L20+'[2]7100'!L20+'[3]7100'!L20+'[4]7100'!L20</f>
        <v>0</v>
      </c>
      <c r="L153" s="161">
        <f>'[6]7100'!M20+'[7]7100'!M20+'[5]7100'!M20+'[8]7100'!M20</f>
        <v>0</v>
      </c>
      <c r="M153" s="161">
        <f>'[6]7100'!N20+'[7]7100'!N20+'[5]7100'!N20+'[8]7100'!N20</f>
        <v>0</v>
      </c>
      <c r="N153" s="161">
        <f>'[6]7100'!O20+'[7]7100'!O20+'[5]7100'!O20+'[8]7100'!O20</f>
        <v>0</v>
      </c>
      <c r="O153" s="161">
        <f>'[6]7100'!P20+'[7]7100'!P20+'[5]7100'!P20+'[8]7100'!P20</f>
        <v>0</v>
      </c>
    </row>
    <row r="154" spans="2:15" ht="12.75" hidden="1">
      <c r="B154" s="162" t="s">
        <v>256</v>
      </c>
      <c r="C154" s="161">
        <f>'[1]7100'!D21+'[2]7100'!D21+'[3]7100'!D21+'[4]7100'!D21</f>
        <v>8270609.7299999995</v>
      </c>
      <c r="D154" s="161">
        <f>'[1]7100'!E21+'[2]7100'!E21+'[3]7100'!E21+'[4]7100'!E21</f>
        <v>-190184.21</v>
      </c>
      <c r="E154" s="161">
        <f>'[1]7100'!F21+'[2]7100'!F21+'[3]7100'!F21+'[4]7100'!F21</f>
        <v>27736.69</v>
      </c>
      <c r="F154" s="161">
        <f>'[1]7100'!G21+'[2]7100'!G21+'[3]7100'!G21+'[4]7100'!G21</f>
        <v>0</v>
      </c>
      <c r="G154" s="161">
        <f>'[1]7100'!H21+'[2]7100'!H21+'[3]7100'!H21+'[4]7100'!H21</f>
        <v>8052688.83</v>
      </c>
      <c r="H154" s="161">
        <f>'[1]7100'!I21+'[2]7100'!I21+'[3]7100'!I21+'[4]7100'!I21</f>
        <v>7565317</v>
      </c>
      <c r="I154" s="161">
        <f>'[1]7100'!J21+'[2]7100'!J21+'[3]7100'!J21+'[4]7100'!J21</f>
        <v>0</v>
      </c>
      <c r="J154" s="161">
        <f>'[1]7100'!K21+'[2]7100'!K21+'[3]7100'!K21+'[4]7100'!K21</f>
        <v>0</v>
      </c>
      <c r="K154" s="161">
        <f>'[1]7100'!L21+'[2]7100'!L21+'[3]7100'!L21+'[4]7100'!L21</f>
        <v>487371.83</v>
      </c>
      <c r="L154" s="161">
        <f>'[6]7100'!M21+'[7]7100'!M21+'[5]7100'!M21+'[8]7100'!M21</f>
        <v>0</v>
      </c>
      <c r="M154" s="161">
        <f>'[6]7100'!N21+'[7]7100'!N21+'[5]7100'!N21+'[8]7100'!N21</f>
        <v>0</v>
      </c>
      <c r="N154" s="161">
        <f>'[6]7100'!O21+'[7]7100'!O21+'[5]7100'!O21+'[8]7100'!O21</f>
        <v>0</v>
      </c>
      <c r="O154" s="161">
        <f>'[6]7100'!P21+'[7]7100'!P21+'[5]7100'!P21+'[8]7100'!P21</f>
        <v>0</v>
      </c>
    </row>
    <row r="155" spans="2:15" ht="12.75" hidden="1">
      <c r="B155" s="162" t="s">
        <v>243</v>
      </c>
      <c r="C155" s="161">
        <f>'[1]7100'!D22+'[2]7100'!D22+'[3]7100'!D22+'[4]7100'!D22</f>
        <v>7684640.4</v>
      </c>
      <c r="D155" s="161">
        <f>'[1]7100'!E22+'[2]7100'!E22+'[3]7100'!E22+'[4]7100'!E22</f>
        <v>0</v>
      </c>
      <c r="E155" s="161">
        <f>'[1]7100'!F22+'[2]7100'!F22+'[3]7100'!F22+'[4]7100'!F22</f>
        <v>19412.690000000002</v>
      </c>
      <c r="F155" s="161">
        <f>'[1]7100'!G22+'[2]7100'!G22+'[3]7100'!G22+'[4]7100'!G22</f>
        <v>0</v>
      </c>
      <c r="G155" s="161">
        <f>'[1]7100'!H22+'[2]7100'!H22+'[3]7100'!H22+'[4]7100'!H22</f>
        <v>7665227.71</v>
      </c>
      <c r="H155" s="161">
        <f>'[1]7100'!I22+'[2]7100'!I22+'[3]7100'!I22+'[4]7100'!I22</f>
        <v>7075019.840000001</v>
      </c>
      <c r="I155" s="161">
        <f>'[1]7100'!J22+'[2]7100'!J22+'[3]7100'!J22+'[4]7100'!J22</f>
        <v>0</v>
      </c>
      <c r="J155" s="161">
        <f>'[1]7100'!K22+'[2]7100'!K22+'[3]7100'!K22+'[4]7100'!K22</f>
        <v>0</v>
      </c>
      <c r="K155" s="161">
        <f>'[1]7100'!L22+'[2]7100'!L22+'[3]7100'!L22+'[4]7100'!L22</f>
        <v>590207.87</v>
      </c>
      <c r="L155" s="161">
        <f>'[6]7100'!M22+'[7]7100'!M22+'[5]7100'!M22+'[8]7100'!M22</f>
        <v>0</v>
      </c>
      <c r="M155" s="161">
        <f>'[6]7100'!N22+'[7]7100'!N22+'[5]7100'!N22+'[8]7100'!N22</f>
        <v>0</v>
      </c>
      <c r="N155" s="161">
        <f>'[6]7100'!O22+'[7]7100'!O22+'[5]7100'!O22+'[8]7100'!O22</f>
        <v>0</v>
      </c>
      <c r="O155" s="161">
        <f>'[6]7100'!P22+'[7]7100'!P22+'[5]7100'!P22+'[8]7100'!P22</f>
        <v>0</v>
      </c>
    </row>
    <row r="156" spans="2:15" ht="12.75" hidden="1">
      <c r="B156" s="162" t="s">
        <v>257</v>
      </c>
      <c r="C156" s="161">
        <f>'[1]7100'!D23+'[2]7100'!D23+'[3]7100'!D23+'[4]7100'!D23</f>
        <v>555582.13</v>
      </c>
      <c r="D156" s="161">
        <f>'[1]7100'!E23+'[2]7100'!E23+'[3]7100'!E23+'[4]7100'!E23</f>
        <v>-51719.99</v>
      </c>
      <c r="E156" s="161">
        <f>'[1]7100'!F23+'[2]7100'!F23+'[3]7100'!F23+'[4]7100'!F23</f>
        <v>0.01</v>
      </c>
      <c r="F156" s="161">
        <f>'[1]7100'!G23+'[2]7100'!G23+'[3]7100'!G23+'[4]7100'!G23</f>
        <v>0</v>
      </c>
      <c r="G156" s="161">
        <f>'[1]7100'!H23+'[2]7100'!H23+'[3]7100'!H23+'[4]7100'!H23</f>
        <v>503862.14</v>
      </c>
      <c r="H156" s="161">
        <f>'[1]7100'!I23+'[2]7100'!I23+'[3]7100'!I23+'[4]7100'!I23</f>
        <v>493832.27</v>
      </c>
      <c r="I156" s="161">
        <f>'[1]7100'!J23+'[2]7100'!J23+'[3]7100'!J23+'[4]7100'!J23</f>
        <v>0</v>
      </c>
      <c r="J156" s="161">
        <f>'[1]7100'!K23+'[2]7100'!K23+'[3]7100'!K23+'[4]7100'!K23</f>
        <v>0</v>
      </c>
      <c r="K156" s="161">
        <f>'[1]7100'!L23+'[2]7100'!L23+'[3]7100'!L23+'[4]7100'!L23</f>
        <v>10029.88</v>
      </c>
      <c r="L156" s="161">
        <f>'[6]7100'!M23+'[7]7100'!M23+'[5]7100'!M23+'[8]7100'!M23</f>
        <v>0</v>
      </c>
      <c r="M156" s="161">
        <f>'[6]7100'!N23+'[7]7100'!N23+'[5]7100'!N23+'[8]7100'!N23</f>
        <v>0</v>
      </c>
      <c r="N156" s="161">
        <f>'[6]7100'!O23+'[7]7100'!O23+'[5]7100'!O23+'[8]7100'!O23</f>
        <v>0</v>
      </c>
      <c r="O156" s="161">
        <f>'[6]7100'!P23+'[7]7100'!P23+'[5]7100'!P23+'[8]7100'!P23</f>
        <v>0</v>
      </c>
    </row>
    <row r="157" spans="2:15" ht="12.75" hidden="1">
      <c r="B157" s="162" t="s">
        <v>258</v>
      </c>
      <c r="C157" s="161">
        <f>'[1]7100'!D24+'[2]7100'!D24+'[3]7100'!D24+'[4]7100'!D24</f>
        <v>0</v>
      </c>
      <c r="D157" s="161">
        <f>'[1]7100'!E24+'[2]7100'!E24+'[3]7100'!E24+'[4]7100'!E24</f>
        <v>0</v>
      </c>
      <c r="E157" s="161">
        <f>'[1]7100'!F24+'[2]7100'!F24+'[3]7100'!F24+'[4]7100'!F24</f>
        <v>0</v>
      </c>
      <c r="F157" s="161">
        <f>'[1]7100'!G24+'[2]7100'!G24+'[3]7100'!G24+'[4]7100'!G24</f>
        <v>0</v>
      </c>
      <c r="G157" s="161">
        <f>'[1]7100'!H24+'[2]7100'!H24+'[3]7100'!H24+'[4]7100'!H24</f>
        <v>0</v>
      </c>
      <c r="H157" s="161">
        <f>'[1]7100'!I24+'[2]7100'!I24+'[3]7100'!I24+'[4]7100'!I24</f>
        <v>0</v>
      </c>
      <c r="I157" s="161">
        <f>'[1]7100'!J24+'[2]7100'!J24+'[3]7100'!J24+'[4]7100'!J24</f>
        <v>0</v>
      </c>
      <c r="J157" s="161">
        <f>'[1]7100'!K24+'[2]7100'!K24+'[3]7100'!K24+'[4]7100'!K24</f>
        <v>0</v>
      </c>
      <c r="K157" s="161">
        <f>'[1]7100'!L24+'[2]7100'!L24+'[3]7100'!L24+'[4]7100'!L24</f>
        <v>0</v>
      </c>
      <c r="L157" s="161">
        <f>'[6]7100'!M24+'[7]7100'!M24+'[5]7100'!M24+'[8]7100'!M24</f>
        <v>0</v>
      </c>
      <c r="M157" s="161">
        <f>'[6]7100'!N24+'[7]7100'!N24+'[5]7100'!N24+'[8]7100'!N24</f>
        <v>0</v>
      </c>
      <c r="N157" s="161">
        <f>'[6]7100'!O24+'[7]7100'!O24+'[5]7100'!O24+'[8]7100'!O24</f>
        <v>0</v>
      </c>
      <c r="O157" s="161">
        <f>'[6]7100'!P24+'[7]7100'!P24+'[5]7100'!P24+'[8]7100'!P24</f>
        <v>0</v>
      </c>
    </row>
    <row r="158" spans="2:15" ht="12.75" hidden="1">
      <c r="B158" s="162" t="s">
        <v>245</v>
      </c>
      <c r="C158" s="161">
        <f>'[1]7100'!D25+'[2]7100'!D25+'[3]7100'!D25+'[4]7100'!D25</f>
        <v>17845035.64</v>
      </c>
      <c r="D158" s="161">
        <f>'[1]7100'!E25+'[2]7100'!E25+'[3]7100'!E25+'[4]7100'!E25</f>
        <v>4317000.94</v>
      </c>
      <c r="E158" s="161">
        <f>'[1]7100'!F25+'[2]7100'!F25+'[3]7100'!F25+'[4]7100'!F25</f>
        <v>66973.76</v>
      </c>
      <c r="F158" s="161">
        <f>'[1]7100'!G25+'[2]7100'!G25+'[3]7100'!G25+'[4]7100'!G25</f>
        <v>0</v>
      </c>
      <c r="G158" s="161">
        <f>'[1]7100'!H25+'[2]7100'!H25+'[3]7100'!H25+'[4]7100'!H25</f>
        <v>22095062.83</v>
      </c>
      <c r="H158" s="161">
        <f>'[1]7100'!I25+'[2]7100'!I25+'[3]7100'!I25+'[4]7100'!I25</f>
        <v>14617331.92</v>
      </c>
      <c r="I158" s="161">
        <f>'[1]7100'!J25+'[2]7100'!J25+'[3]7100'!J25+'[4]7100'!J25</f>
        <v>0</v>
      </c>
      <c r="J158" s="161">
        <f>'[1]7100'!K25+'[2]7100'!K25+'[3]7100'!K25+'[4]7100'!K25</f>
        <v>0</v>
      </c>
      <c r="K158" s="161">
        <f>'[1]7100'!L25+'[2]7100'!L25+'[3]7100'!L25+'[4]7100'!L25</f>
        <v>7477730.91</v>
      </c>
      <c r="L158" s="161">
        <f>'[6]7100'!M25+'[7]7100'!M25+'[5]7100'!M25+'[8]7100'!M25</f>
        <v>0</v>
      </c>
      <c r="M158" s="161">
        <f>'[6]7100'!N25+'[7]7100'!N25+'[5]7100'!N25+'[8]7100'!N25</f>
        <v>0</v>
      </c>
      <c r="N158" s="161">
        <f>'[6]7100'!O25+'[7]7100'!O25+'[5]7100'!O25+'[8]7100'!O25</f>
        <v>0</v>
      </c>
      <c r="O158" s="161">
        <f>'[6]7100'!P25+'[7]7100'!P25+'[5]7100'!P25+'[8]7100'!P25</f>
        <v>0</v>
      </c>
    </row>
    <row r="159" spans="2:15" ht="12.75" hidden="1">
      <c r="B159" s="162" t="s">
        <v>246</v>
      </c>
      <c r="C159" s="161">
        <f>'[1]7100'!D26+'[2]7100'!D26+'[3]7100'!D26+'[4]7100'!D26</f>
        <v>0</v>
      </c>
      <c r="D159" s="161">
        <f>'[1]7100'!E26+'[2]7100'!E26+'[3]7100'!E26+'[4]7100'!E26</f>
        <v>0</v>
      </c>
      <c r="E159" s="161">
        <f>'[1]7100'!F26+'[2]7100'!F26+'[3]7100'!F26+'[4]7100'!F26</f>
        <v>0</v>
      </c>
      <c r="F159" s="161">
        <f>'[1]7100'!G26+'[2]7100'!G26+'[3]7100'!G26+'[4]7100'!G26</f>
        <v>0</v>
      </c>
      <c r="G159" s="161">
        <f>'[1]7100'!H26+'[2]7100'!H26+'[3]7100'!H26+'[4]7100'!H26</f>
        <v>0</v>
      </c>
      <c r="H159" s="161">
        <f>'[1]7100'!I26+'[2]7100'!I26+'[3]7100'!I26+'[4]7100'!I26</f>
        <v>0</v>
      </c>
      <c r="I159" s="161">
        <f>'[1]7100'!J26+'[2]7100'!J26+'[3]7100'!J26+'[4]7100'!J26</f>
        <v>0</v>
      </c>
      <c r="J159" s="161">
        <f>'[1]7100'!K26+'[2]7100'!K26+'[3]7100'!K26+'[4]7100'!K26</f>
        <v>0</v>
      </c>
      <c r="K159" s="161">
        <f>'[1]7100'!L26+'[2]7100'!L26+'[3]7100'!L26+'[4]7100'!L26</f>
        <v>0</v>
      </c>
      <c r="L159" s="161">
        <f>'[6]7100'!M26+'[7]7100'!M26+'[5]7100'!M26+'[8]7100'!M26</f>
        <v>0</v>
      </c>
      <c r="M159" s="161">
        <f>'[6]7100'!N26+'[7]7100'!N26+'[5]7100'!N26+'[8]7100'!N26</f>
        <v>0</v>
      </c>
      <c r="N159" s="161">
        <f>'[6]7100'!O26+'[7]7100'!O26+'[5]7100'!O26+'[8]7100'!O26</f>
        <v>0</v>
      </c>
      <c r="O159" s="161">
        <f>'[6]7100'!P26+'[7]7100'!P26+'[5]7100'!P26+'[8]7100'!P26</f>
        <v>0</v>
      </c>
    </row>
    <row r="160" spans="2:15" ht="12.75" hidden="1">
      <c r="B160" s="166" t="s">
        <v>247</v>
      </c>
      <c r="C160" s="161">
        <f>'[1]7100'!D27+'[2]7100'!D27+'[3]7100'!D27+'[4]7100'!D27</f>
        <v>0</v>
      </c>
      <c r="D160" s="161">
        <f>'[1]7100'!E27+'[2]7100'!E27+'[3]7100'!E27+'[4]7100'!E27</f>
        <v>0</v>
      </c>
      <c r="E160" s="161">
        <f>'[1]7100'!F27+'[2]7100'!F27+'[3]7100'!F27+'[4]7100'!F27</f>
        <v>0</v>
      </c>
      <c r="F160" s="161">
        <f>'[1]7100'!G27+'[2]7100'!G27+'[3]7100'!G27+'[4]7100'!G27</f>
        <v>0</v>
      </c>
      <c r="G160" s="161">
        <f>'[1]7100'!H27+'[2]7100'!H27+'[3]7100'!H27+'[4]7100'!H27</f>
        <v>0</v>
      </c>
      <c r="H160" s="161">
        <f>'[1]7100'!I27+'[2]7100'!I27+'[3]7100'!I27+'[4]7100'!I27</f>
        <v>0</v>
      </c>
      <c r="I160" s="161">
        <f>'[1]7100'!J27+'[2]7100'!J27+'[3]7100'!J27+'[4]7100'!J27</f>
        <v>0</v>
      </c>
      <c r="J160" s="161">
        <f>'[1]7100'!K27+'[2]7100'!K27+'[3]7100'!K27+'[4]7100'!K27</f>
        <v>0</v>
      </c>
      <c r="K160" s="161">
        <f>'[1]7100'!L27+'[2]7100'!L27+'[3]7100'!L27+'[4]7100'!L27</f>
        <v>0</v>
      </c>
      <c r="L160" s="161">
        <f>'[6]7100'!M27+'[7]7100'!M27+'[5]7100'!M27+'[8]7100'!M27</f>
        <v>0</v>
      </c>
      <c r="M160" s="161">
        <f>'[6]7100'!N27+'[7]7100'!N27+'[5]7100'!N27+'[8]7100'!N27</f>
        <v>0</v>
      </c>
      <c r="N160" s="161">
        <f>'[6]7100'!O27+'[7]7100'!O27+'[5]7100'!O27+'[8]7100'!O27</f>
        <v>0</v>
      </c>
      <c r="O160" s="161">
        <f>'[6]7100'!P27+'[7]7100'!P27+'[5]7100'!P27+'[8]7100'!P27</f>
        <v>0</v>
      </c>
    </row>
    <row r="161" spans="2:11" ht="13.5" hidden="1" thickBot="1">
      <c r="B161" s="163" t="s">
        <v>349</v>
      </c>
      <c r="C161" s="164">
        <f aca="true" t="shared" si="13" ref="C161:K161">SUM(C152:C160)</f>
        <v>34355867.9</v>
      </c>
      <c r="D161" s="164">
        <f t="shared" si="13"/>
        <v>4075096.74</v>
      </c>
      <c r="E161" s="164">
        <f t="shared" si="13"/>
        <v>114123.15</v>
      </c>
      <c r="F161" s="164">
        <f t="shared" si="13"/>
        <v>0</v>
      </c>
      <c r="G161" s="164">
        <f t="shared" si="13"/>
        <v>38316841.51</v>
      </c>
      <c r="H161" s="164">
        <f t="shared" si="13"/>
        <v>29751501.03</v>
      </c>
      <c r="I161" s="164">
        <f t="shared" si="13"/>
        <v>0</v>
      </c>
      <c r="J161" s="164">
        <f t="shared" si="13"/>
        <v>0</v>
      </c>
      <c r="K161" s="164">
        <f t="shared" si="13"/>
        <v>8565340.49</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79" t="s">
        <v>356</v>
      </c>
      <c r="C164" s="180" t="s">
        <v>317</v>
      </c>
      <c r="D164" s="34"/>
      <c r="E164" s="179" t="s">
        <v>357</v>
      </c>
      <c r="F164" s="180" t="s">
        <v>317</v>
      </c>
      <c r="G164" s="34"/>
      <c r="H164" s="34"/>
      <c r="I164" s="34"/>
    </row>
    <row r="165" spans="2:9" ht="15.75" hidden="1">
      <c r="B165" s="181" t="s">
        <v>318</v>
      </c>
      <c r="C165" s="161">
        <f>'[1]6100'!D3+'[2]6100'!D3+'[3]6100'!D3+'[4]6100'!D3</f>
        <v>128142020.2</v>
      </c>
      <c r="D165" s="44"/>
      <c r="E165" s="185" t="s">
        <v>331</v>
      </c>
      <c r="F165" s="161">
        <f>'[1]6100'!D23+'[2]6100'!D23+'[3]6100'!D23+'[4]6100'!D23</f>
        <v>328689116.52</v>
      </c>
      <c r="G165" s="44"/>
      <c r="H165" s="44"/>
      <c r="I165" s="44"/>
    </row>
    <row r="166" spans="2:6" ht="12.75" hidden="1">
      <c r="B166" s="182" t="s">
        <v>319</v>
      </c>
      <c r="C166" s="161">
        <f>'[1]6100'!D4+'[2]6100'!D4+'[3]6100'!D4+'[4]6100'!D4</f>
        <v>109685125.08000001</v>
      </c>
      <c r="E166" s="186" t="s">
        <v>283</v>
      </c>
      <c r="F166" s="161">
        <f>'[1]6100'!D24+'[2]6100'!D24+'[3]6100'!D24+'[4]6100'!D24</f>
        <v>269476121.17</v>
      </c>
    </row>
    <row r="167" spans="2:6" ht="12.75" hidden="1">
      <c r="B167" s="182" t="s">
        <v>320</v>
      </c>
      <c r="C167" s="161">
        <f>'[1]6100'!D5+'[2]6100'!D5+'[3]6100'!D5+'[4]6100'!D5</f>
        <v>8565340.500000002</v>
      </c>
      <c r="E167" s="186" t="s">
        <v>285</v>
      </c>
      <c r="F167" s="161">
        <f>'[1]6100'!D25+'[2]6100'!D25+'[3]6100'!D25+'[4]6100'!D25</f>
        <v>29751501.01</v>
      </c>
    </row>
    <row r="168" spans="2:6" ht="12.75" hidden="1">
      <c r="B168" s="182" t="s">
        <v>321</v>
      </c>
      <c r="C168" s="161">
        <f>'[1]6100'!D6+'[2]6100'!D6+'[3]6100'!D6+'[4]6100'!D6</f>
        <v>10048737.629999999</v>
      </c>
      <c r="E168" s="186" t="s">
        <v>288</v>
      </c>
      <c r="F168" s="161">
        <f>'[1]6100'!D26+'[2]6100'!D26+'[3]6100'!D26+'[4]6100'!D26</f>
        <v>29461494.35</v>
      </c>
    </row>
    <row r="169" spans="2:6" ht="12.75" hidden="1">
      <c r="B169" s="182" t="s">
        <v>322</v>
      </c>
      <c r="C169" s="161">
        <f>'[1]6100'!D7+'[2]6100'!D7+'[3]6100'!D7+'[4]6100'!D7</f>
        <v>0</v>
      </c>
      <c r="E169" s="182" t="s">
        <v>290</v>
      </c>
      <c r="F169" s="161">
        <f>'[1]6100'!D27+'[2]6100'!D27+'[3]6100'!D27+'[4]6100'!D27</f>
        <v>0</v>
      </c>
    </row>
    <row r="170" spans="2:6" ht="12.75" hidden="1">
      <c r="B170" s="182" t="s">
        <v>323</v>
      </c>
      <c r="C170" s="161">
        <f>'[1]6100'!D8+'[2]6100'!D8+'[3]6100'!D8+'[4]6100'!D8</f>
        <v>31432.93</v>
      </c>
      <c r="E170" s="187" t="s">
        <v>293</v>
      </c>
      <c r="F170" s="161">
        <f>'[1]6100'!D28+'[2]6100'!D28+'[3]6100'!D28+'[4]6100'!D28</f>
        <v>352491371.68000007</v>
      </c>
    </row>
    <row r="171" spans="2:6" ht="12.75" hidden="1">
      <c r="B171" s="182" t="s">
        <v>324</v>
      </c>
      <c r="C171" s="161">
        <f>'[1]6100'!D9+'[2]6100'!D9+'[3]6100'!D9+'[4]6100'!D9</f>
        <v>125750.08</v>
      </c>
      <c r="E171" s="186" t="s">
        <v>283</v>
      </c>
      <c r="F171" s="161">
        <f>'[1]6100'!D29+'[2]6100'!D29+'[3]6100'!D29+'[4]6100'!D29</f>
        <v>319207769.12</v>
      </c>
    </row>
    <row r="172" spans="2:6" ht="12.75" hidden="1">
      <c r="B172" s="181" t="s">
        <v>325</v>
      </c>
      <c r="C172" s="161">
        <f>'[1]6100'!D10+'[2]6100'!D10+'[3]6100'!D10+'[4]6100'!D10</f>
        <v>67001562.19</v>
      </c>
      <c r="E172" s="186" t="s">
        <v>285</v>
      </c>
      <c r="F172" s="161">
        <f>'[1]6100'!D30+'[2]6100'!D30+'[3]6100'!D30+'[4]6100'!D30</f>
        <v>13327524.690000001</v>
      </c>
    </row>
    <row r="173" spans="2:9" ht="15.75" hidden="1">
      <c r="B173" s="182" t="s">
        <v>319</v>
      </c>
      <c r="C173" s="161">
        <f>'[1]6100'!D11+'[2]6100'!D11+'[3]6100'!D11+'[4]6100'!D11</f>
        <v>45325406.69</v>
      </c>
      <c r="D173" s="105"/>
      <c r="E173" s="186" t="s">
        <v>288</v>
      </c>
      <c r="F173" s="161">
        <f>'[1]6100'!D31+'[2]6100'!D31+'[3]6100'!D31+'[4]6100'!D31</f>
        <v>19956077.86</v>
      </c>
      <c r="G173" s="105"/>
      <c r="H173" s="105"/>
      <c r="I173" s="105"/>
    </row>
    <row r="174" spans="2:6" ht="12.75" hidden="1">
      <c r="B174" s="182" t="s">
        <v>320</v>
      </c>
      <c r="C174" s="161">
        <f>'[1]6100'!D12+'[2]6100'!D12+'[3]6100'!D12+'[4]6100'!D12</f>
        <v>431816.06</v>
      </c>
      <c r="E174" s="182" t="s">
        <v>290</v>
      </c>
      <c r="F174" s="161">
        <f>'[1]6100'!D32+'[2]6100'!D32+'[3]6100'!D32+'[4]6100'!D32</f>
        <v>0</v>
      </c>
    </row>
    <row r="175" spans="2:6" ht="12.75" hidden="1">
      <c r="B175" s="182" t="s">
        <v>321</v>
      </c>
      <c r="C175" s="161">
        <f>'[1]6100'!D13+'[2]6100'!D13+'[3]6100'!D13+'[4]6100'!D13</f>
        <v>21244339.44</v>
      </c>
      <c r="E175" s="188" t="s">
        <v>332</v>
      </c>
      <c r="F175" s="161">
        <f>'[1]6100'!D33+'[2]6100'!D33+'[3]6100'!D33+'[4]6100'!D33</f>
        <v>-23802255.16</v>
      </c>
    </row>
    <row r="176" spans="2:6" ht="12.75" hidden="1">
      <c r="B176" s="182" t="s">
        <v>322</v>
      </c>
      <c r="C176" s="161">
        <f>'[1]6100'!D14+'[2]6100'!D14+'[3]6100'!D14+'[4]6100'!D14</f>
        <v>0</v>
      </c>
      <c r="E176" s="188" t="s">
        <v>304</v>
      </c>
      <c r="F176" s="161">
        <f>'[1]6100'!D34+'[2]6100'!D34+'[3]6100'!D34+'[4]6100'!D34</f>
        <v>36216989.41</v>
      </c>
    </row>
    <row r="177" spans="2:9" ht="16.5" hidden="1" thickBot="1">
      <c r="B177" s="182" t="s">
        <v>326</v>
      </c>
      <c r="C177" s="161">
        <f>'[1]6100'!D15+'[2]6100'!D15+'[3]6100'!D15+'[4]6100'!D15</f>
        <v>0</v>
      </c>
      <c r="D177" s="45"/>
      <c r="E177" s="189" t="s">
        <v>308</v>
      </c>
      <c r="F177" s="161">
        <f>'[1]6100'!D35+'[2]6100'!D35+'[3]6100'!D35+'[4]6100'!D35</f>
        <v>12414734.25</v>
      </c>
      <c r="G177" s="45"/>
      <c r="H177" s="45"/>
      <c r="I177" s="45"/>
    </row>
    <row r="178" spans="2:9" ht="15.75" hidden="1">
      <c r="B178" s="181" t="s">
        <v>327</v>
      </c>
      <c r="C178" s="161">
        <f>'[1]6100'!D16+'[2]6100'!D16+'[3]6100'!D16+'[4]6100'!D16</f>
        <v>12414734.25</v>
      </c>
      <c r="D178" s="45"/>
      <c r="G178" s="45"/>
      <c r="H178" s="45"/>
      <c r="I178" s="45"/>
    </row>
    <row r="179" spans="2:9" ht="15.75" hidden="1">
      <c r="B179" s="183" t="s">
        <v>328</v>
      </c>
      <c r="C179" s="161">
        <f>'[1]6100'!D17+'[2]6100'!D17+'[3]6100'!D17+'[4]6100'!D17</f>
        <v>2407053.48</v>
      </c>
      <c r="D179" s="45"/>
      <c r="G179" s="45"/>
      <c r="H179" s="45"/>
      <c r="I179" s="45"/>
    </row>
    <row r="180" spans="2:9" ht="15.75" hidden="1">
      <c r="B180" s="183" t="s">
        <v>329</v>
      </c>
      <c r="C180" s="161">
        <f>'[1]6100'!D18+'[2]6100'!D18+'[3]6100'!D18+'[4]6100'!D18</f>
        <v>71148138.78000002</v>
      </c>
      <c r="D180" s="45"/>
      <c r="G180" s="45"/>
      <c r="H180" s="45"/>
      <c r="I180" s="45"/>
    </row>
    <row r="181" spans="2:9" ht="16.5" hidden="1" thickBot="1">
      <c r="B181" s="184" t="s">
        <v>330</v>
      </c>
      <c r="C181" s="161">
        <f>'[1]6100'!D19+'[2]6100'!D19+'[3]6100'!D19+'[4]6100'!D19</f>
        <v>73555192.26</v>
      </c>
      <c r="D181" s="45"/>
      <c r="G181" s="45"/>
      <c r="H181" s="45"/>
      <c r="I181" s="45"/>
    </row>
    <row r="182" spans="4:9" ht="15.75" hidden="1">
      <c r="D182" s="45"/>
      <c r="E182" s="45"/>
      <c r="F182" s="45"/>
      <c r="G182" s="45"/>
      <c r="H182" s="45"/>
      <c r="I182" s="45"/>
    </row>
    <row r="183" spans="4:9" ht="15.75" hidden="1">
      <c r="D183" s="45"/>
      <c r="E183" s="45"/>
      <c r="F183" s="45"/>
      <c r="G183" s="45"/>
      <c r="H183" s="45"/>
      <c r="I183" s="45"/>
    </row>
    <row r="184" spans="4:9" ht="15.75">
      <c r="D184" s="45"/>
      <c r="E184" s="45"/>
      <c r="F184" s="45"/>
      <c r="G184" s="45"/>
      <c r="H184" s="45"/>
      <c r="I184" s="45"/>
    </row>
    <row r="185" spans="4:9" ht="15.75">
      <c r="D185" s="45"/>
      <c r="E185" s="45"/>
      <c r="F185" s="45"/>
      <c r="G185" s="45"/>
      <c r="H185" s="45"/>
      <c r="I185" s="45"/>
    </row>
    <row r="186" spans="4:9" ht="15.75">
      <c r="D186" s="45"/>
      <c r="E186" s="45"/>
      <c r="F186" s="45"/>
      <c r="G186" s="45"/>
      <c r="H186" s="45"/>
      <c r="I186" s="45"/>
    </row>
    <row r="187" spans="4:9" ht="15.75">
      <c r="D187" s="45"/>
      <c r="E187" s="45"/>
      <c r="F187" s="45"/>
      <c r="G187" s="45"/>
      <c r="H187" s="45"/>
      <c r="I187" s="45"/>
    </row>
    <row r="188" spans="4:9" ht="15.75">
      <c r="D188" s="45"/>
      <c r="E188" s="45"/>
      <c r="F188" s="45"/>
      <c r="G188" s="45"/>
      <c r="H188" s="45"/>
      <c r="I188" s="45"/>
    </row>
    <row r="189" spans="4:9" ht="15.75">
      <c r="D189" s="45"/>
      <c r="E189" s="45"/>
      <c r="F189" s="45"/>
      <c r="G189" s="45"/>
      <c r="H189" s="45"/>
      <c r="I189" s="45"/>
    </row>
    <row r="190" spans="4:9" ht="15.75">
      <c r="D190" s="45"/>
      <c r="E190" s="45"/>
      <c r="F190" s="45"/>
      <c r="G190" s="45"/>
      <c r="H190" s="45"/>
      <c r="I190" s="45"/>
    </row>
    <row r="191" spans="4:9" ht="15.75">
      <c r="D191" s="45"/>
      <c r="E191" s="45"/>
      <c r="F191" s="45"/>
      <c r="G191" s="45"/>
      <c r="H191" s="45"/>
      <c r="I191" s="45"/>
    </row>
    <row r="192" spans="4:9" ht="15.75">
      <c r="D192" s="45"/>
      <c r="E192" s="45"/>
      <c r="F192" s="45"/>
      <c r="G192" s="45"/>
      <c r="H192" s="45"/>
      <c r="I192" s="45"/>
    </row>
    <row r="193" spans="4:9" ht="15.75">
      <c r="D193" s="45"/>
      <c r="E193" s="45"/>
      <c r="F193" s="45"/>
      <c r="G193" s="45"/>
      <c r="H193" s="45"/>
      <c r="I193" s="45"/>
    </row>
    <row r="194" spans="4:9" ht="15.75">
      <c r="D194" s="45"/>
      <c r="E194" s="45"/>
      <c r="F194" s="45"/>
      <c r="G194" s="45"/>
      <c r="H194" s="45"/>
      <c r="I194" s="45"/>
    </row>
    <row r="195" spans="4:9" ht="15.75">
      <c r="D195" s="45"/>
      <c r="E195" s="45"/>
      <c r="F195" s="45"/>
      <c r="G195" s="45"/>
      <c r="H195" s="45"/>
      <c r="I195" s="45"/>
    </row>
    <row r="196" spans="4:9" ht="15.75">
      <c r="D196" s="45"/>
      <c r="E196" s="45"/>
      <c r="F196" s="45"/>
      <c r="G196" s="45"/>
      <c r="H196" s="45"/>
      <c r="I196" s="45"/>
    </row>
  </sheetData>
  <mergeCells count="52">
    <mergeCell ref="I149:I150"/>
    <mergeCell ref="J149:J150"/>
    <mergeCell ref="K149:K150"/>
    <mergeCell ref="D149:D150"/>
    <mergeCell ref="E149:E150"/>
    <mergeCell ref="F149:F150"/>
    <mergeCell ref="G149:G150"/>
    <mergeCell ref="K100:K101"/>
    <mergeCell ref="B135:B137"/>
    <mergeCell ref="C135:C136"/>
    <mergeCell ref="D135:D136"/>
    <mergeCell ref="E135:E136"/>
    <mergeCell ref="F135:F136"/>
    <mergeCell ref="G135:G136"/>
    <mergeCell ref="G100:G101"/>
    <mergeCell ref="H100:H101"/>
    <mergeCell ref="I100:I101"/>
    <mergeCell ref="J100:J101"/>
    <mergeCell ref="F100:F101"/>
    <mergeCell ref="D100:D101"/>
    <mergeCell ref="E100:E101"/>
    <mergeCell ref="B149:B151"/>
    <mergeCell ref="C149:C150"/>
    <mergeCell ref="B100:B102"/>
    <mergeCell ref="C100:C101"/>
    <mergeCell ref="E54:G54"/>
    <mergeCell ref="A79:C79"/>
    <mergeCell ref="E79:H79"/>
    <mergeCell ref="A72:B72"/>
    <mergeCell ref="A67:B67"/>
    <mergeCell ref="G86:G87"/>
    <mergeCell ref="H149:H150"/>
    <mergeCell ref="B86:B88"/>
    <mergeCell ref="C86:C87"/>
    <mergeCell ref="D86:D87"/>
    <mergeCell ref="E86:E87"/>
    <mergeCell ref="F86:F87"/>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zoomScaleNormal="75" workbookViewId="0" topLeftCell="A1"/>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tr">
        <f>"EJERCICIO    "&amp;Balance!K1</f>
        <v>EJERCICIO    1995</v>
      </c>
      <c r="C1" s="8"/>
    </row>
    <row r="2" spans="1:3" ht="12.95" customHeight="1" thickBot="1">
      <c r="A2" s="5"/>
      <c r="B2" s="6"/>
      <c r="C2" s="8"/>
    </row>
    <row r="3" spans="1:3" ht="33" customHeight="1">
      <c r="A3" s="75" t="str">
        <f>"                                            "&amp;"UNIVERSIDADES"</f>
        <v xml:space="preserve">                                            UNIVERSIDADES</v>
      </c>
      <c r="B3" s="10"/>
      <c r="C3" s="8"/>
    </row>
    <row r="4" spans="1:4" ht="20.1" customHeight="1">
      <c r="A4" s="14" t="str">
        <f>"AGREGADO"</f>
        <v>AGREGADO</v>
      </c>
      <c r="B4" s="79"/>
      <c r="C4" s="8"/>
      <c r="D4" s="94"/>
    </row>
    <row r="5" spans="1:3" ht="18" customHeight="1" thickBot="1">
      <c r="A5" s="18"/>
      <c r="B5" s="47"/>
      <c r="C5" s="8"/>
    </row>
    <row r="6" spans="1:4" ht="15" customHeight="1">
      <c r="A6" s="96"/>
      <c r="B6" s="97"/>
      <c r="C6" s="8"/>
      <c r="D6" s="97"/>
    </row>
    <row r="7" spans="1:4" ht="12.95" customHeight="1">
      <c r="A7" s="100"/>
      <c r="B7" s="100"/>
      <c r="C7" s="8"/>
      <c r="D7" s="100"/>
    </row>
    <row r="8" spans="1:4" ht="20.25">
      <c r="A8" s="102" t="s">
        <v>41</v>
      </c>
      <c r="B8" s="34"/>
      <c r="C8" s="8"/>
      <c r="D8" s="34"/>
    </row>
    <row r="9" ht="21" customHeight="1">
      <c r="C9" s="8"/>
    </row>
    <row r="10" ht="12.95" customHeight="1">
      <c r="C10" s="8"/>
    </row>
    <row r="11" ht="12.95" customHeight="1" thickBot="1">
      <c r="C11" s="8"/>
    </row>
    <row r="12" spans="1:3" ht="33" customHeight="1">
      <c r="A12" s="108" t="s">
        <v>45</v>
      </c>
      <c r="B12" s="108"/>
      <c r="C12" s="8"/>
    </row>
    <row r="13" ht="12.95" customHeight="1"/>
    <row r="14" ht="18" customHeight="1">
      <c r="A14" s="1" t="s">
        <v>0</v>
      </c>
    </row>
    <row r="15" ht="18" customHeight="1">
      <c r="A15" s="1" t="s">
        <v>1</v>
      </c>
    </row>
    <row r="16" ht="18" customHeight="1">
      <c r="A16" s="1" t="s">
        <v>2</v>
      </c>
    </row>
    <row r="17" ht="18" customHeight="1">
      <c r="A17" s="1" t="s">
        <v>3</v>
      </c>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printOptions horizontalCentered="1"/>
  <pageMargins left="0.31496062992125984" right="0.31496062992125984" top="0.5905511811023623" bottom="0.5905511811023623" header="0" footer="0"/>
  <pageSetup fitToHeight="2"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2018-06-18T09:31:54Z</cp:lastPrinted>
  <dcterms:created xsi:type="dcterms:W3CDTF">2010-12-21T11:30:58Z</dcterms:created>
  <dcterms:modified xsi:type="dcterms:W3CDTF">2018-06-18T09:31:57Z</dcterms:modified>
  <cp:category/>
  <cp:version/>
  <cp:contentType/>
  <cp:contentStatus/>
</cp:coreProperties>
</file>