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840" yWindow="360" windowWidth="13875" windowHeight="7965" tabRatio="887" firstSheet="1" activeTab="1"/>
  </bookViews>
  <sheets>
    <sheet name="Acerno_Cache_XXXXX" sheetId="11" state="veryHidden" r:id="rId1"/>
    <sheet name="Información" sheetId="8" r:id="rId2"/>
    <sheet name="Balance" sheetId="6" r:id="rId3"/>
    <sheet name="Cuenta" sheetId="7" r:id="rId4"/>
    <sheet name="Liquidación del presupuesto" sheetId="10" r:id="rId5"/>
    <sheet name="Memoria" sheetId="9" r:id="rId6"/>
    <sheet name="Entidades agregadas" sheetId="5" r:id="rId7"/>
    <sheet name="Entidades no agregadas" sheetId="12" r:id="rId8"/>
  </sheets>
  <externalReferences>
    <externalReference r:id="rId11"/>
    <externalReference r:id="rId12"/>
  </externalReferences>
  <definedNames>
    <definedName name="_xlnm.Print_Area" localSheetId="2">'Balance'!$A$1:$I$52</definedName>
    <definedName name="_xlnm.Print_Area" localSheetId="3">'Cuenta'!$A$1:$I$88</definedName>
    <definedName name="_xlnm.Print_Area" localSheetId="6">'Entidades agregadas'!$A$1:$B$19</definedName>
    <definedName name="_xlnm.Print_Area" localSheetId="7">'Entidades no agregadas'!$A$1:$C$33</definedName>
    <definedName name="_xlnm.Print_Area" localSheetId="1">'Información'!$A$1:$B$54</definedName>
    <definedName name="_xlnm.Print_Area" localSheetId="4">'Liquidación del presupuesto'!$A$1:$M$85</definedName>
    <definedName name="_xlnm.Print_Area" localSheetId="5">'Memoria'!$A$1:$I$84</definedName>
    <definedName name="tm_1006633539">#REF!</definedName>
    <definedName name="tm_603982494">#REF!</definedName>
    <definedName name="tm_671088875">#REF!</definedName>
    <definedName name="tm_805306395">#REF!</definedName>
    <definedName name="tm_805306397">#REF!</definedName>
    <definedName name="_xlnm.Print_Titles" localSheetId="6">'Entidades agregadas'!$1:$13</definedName>
    <definedName name="_xlnm.Print_Titles" localSheetId="7">'Entidades no agregadas'!$1:$13</definedName>
  </definedNames>
  <calcPr calcId="152511"/>
</workbook>
</file>

<file path=xl/sharedStrings.xml><?xml version="1.0" encoding="utf-8"?>
<sst xmlns="http://schemas.openxmlformats.org/spreadsheetml/2006/main" count="803" uniqueCount="442">
  <si>
    <t>Instituto Valenciano de la Juventud</t>
  </si>
  <si>
    <t>Instituto Valenciano de Investigaciones Agrarias</t>
  </si>
  <si>
    <t>B) GASTOS A DISTRIBUIR EN VARIOS EJERCICIOS</t>
  </si>
  <si>
    <t>B) INGRESOS A DISTRIBUIR EN VARIOS EJERCICIOS</t>
  </si>
  <si>
    <t>C) PROVISIONES PARA RIESGOS Y GASTOS</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</si>
  <si>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</si>
  <si>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</si>
  <si>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</si>
  <si>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</si>
  <si>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</si>
  <si>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</si>
  <si>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</si>
  <si>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</si>
  <si>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</si>
  <si>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</si>
  <si>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</si>
  <si>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</si>
  <si>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</si>
  <si>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</si>
  <si>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</si>
  <si>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</si>
  <si>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</si>
  <si>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</si>
  <si>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</si>
  <si>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</si>
  <si>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</si>
  <si>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</si>
  <si>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</si>
  <si>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</si>
  <si>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</si>
  <si>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</si>
  <si>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</si>
  <si>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</si>
  <si>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</si>
  <si>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</si>
  <si>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</si>
  <si>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</si>
  <si>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</si>
  <si>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</si>
  <si>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</si>
  <si>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</si>
  <si>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</si>
  <si>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</si>
  <si>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</si>
  <si>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</si>
  <si>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</si>
  <si>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</si>
  <si>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</si>
  <si>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</si>
  <si>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</si>
  <si>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</si>
  <si>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</si>
  <si>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</si>
  <si>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</si>
  <si>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</si>
  <si>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</si>
  <si>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</si>
  <si>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II. Inmovilizaciones inmateriales</t>
  </si>
  <si>
    <t xml:space="preserve"> III. Inmovilizaciones materiales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</si>
  <si>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</si>
  <si>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</si>
  <si>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</si>
  <si>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</si>
  <si>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</si>
  <si>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</si>
  <si>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</si>
  <si>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</si>
  <si>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</si>
  <si>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</si>
  <si>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</si>
  <si>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</si>
  <si>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</si>
  <si>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</si>
  <si>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</si>
  <si>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</si>
  <si>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</si>
  <si>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</si>
  <si>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</si>
  <si>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</si>
  <si>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</si>
  <si>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</si>
  <si>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</si>
  <si>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</si>
  <si>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</si>
  <si>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</si>
  <si>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</si>
  <si>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</si>
  <si>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</si>
  <si>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</si>
  <si>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IV. Resultados del ejercicio</t>
  </si>
  <si>
    <t>D) ACREEDORES A LARGO PLAZO</t>
  </si>
  <si>
    <t xml:space="preserve"> I. Emisiones de obligaciones y otros valores negociables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</si>
  <si>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</si>
  <si>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</si>
  <si>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</si>
  <si>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</si>
  <si>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</si>
  <si>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</si>
  <si>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</si>
  <si>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II. Deudas con entidades de crédito</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</si>
  <si>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</si>
  <si>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</si>
  <si>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</si>
  <si>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</si>
  <si>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</si>
  <si>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</si>
  <si>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</si>
  <si>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</si>
  <si>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</si>
  <si>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</si>
  <si>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</si>
  <si>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</si>
  <si>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</si>
  <si>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</si>
  <si>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</si>
  <si>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</si>
  <si>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</si>
  <si>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</si>
  <si>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</si>
  <si>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</si>
  <si>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</si>
  <si>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</si>
  <si>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</si>
  <si>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</si>
  <si>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</si>
  <si>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</si>
  <si>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</si>
  <si>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</si>
  <si>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</si>
  <si>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</si>
  <si>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</si>
  <si>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</si>
  <si>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</si>
  <si>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</si>
  <si>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</si>
  <si>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</si>
  <si>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</si>
  <si>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</si>
  <si>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</si>
  <si>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</si>
  <si>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</si>
  <si>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</si>
  <si>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</si>
  <si>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</si>
  <si>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</si>
  <si>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</si>
  <si>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</si>
  <si>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</si>
  <si>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</si>
  <si>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</si>
  <si>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</si>
  <si>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</si>
  <si>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</si>
  <si>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</si>
  <si>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</si>
  <si>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</si>
  <si>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</si>
  <si>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</si>
  <si>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</si>
  <si>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</si>
  <si>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</si>
  <si>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</si>
  <si>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</si>
  <si>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</si>
  <si>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</si>
  <si>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</si>
  <si>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</si>
  <si>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</si>
  <si>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</si>
  <si>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</si>
  <si>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</si>
  <si>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</si>
  <si>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</si>
  <si>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</si>
  <si>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</si>
  <si>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</si>
  <si>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</si>
  <si>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</si>
  <si>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</si>
  <si>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</si>
  <si>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</si>
  <si>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</si>
  <si>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</si>
  <si>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</si>
  <si>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</si>
  <si>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</si>
  <si>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</si>
  <si>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</si>
  <si>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</si>
  <si>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</si>
  <si>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</si>
  <si>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</si>
  <si>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</si>
  <si>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</si>
  <si>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</si>
  <si>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</si>
  <si>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</si>
  <si>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</si>
  <si>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</si>
  <si>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</si>
  <si>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</si>
  <si>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</si>
  <si>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</si>
  <si>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</si>
  <si>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</si>
  <si>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</si>
  <si>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</si>
  <si>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</si>
  <si>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</si>
  <si>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</si>
  <si>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</si>
  <si>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</si>
  <si>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</si>
  <si>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</si>
  <si>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</si>
  <si>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</si>
  <si>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</si>
  <si>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</si>
  <si>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</si>
  <si>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</si>
  <si>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</si>
  <si>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</si>
  <si>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</si>
  <si>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</si>
  <si>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</si>
  <si>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</si>
  <si>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</si>
  <si>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</si>
  <si>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</si>
  <si>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</si>
  <si>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</si>
  <si>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</si>
  <si>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</si>
  <si>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</si>
  <si>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</si>
  <si>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</si>
  <si>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</si>
  <si>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</si>
  <si>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</si>
  <si>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</si>
  <si>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</si>
  <si>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</si>
  <si>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</si>
  <si>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</si>
  <si>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</si>
  <si>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</si>
  <si>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</si>
  <si>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</si>
  <si>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</si>
  <si>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</si>
  <si>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</si>
  <si>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</si>
  <si>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</si>
  <si>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</si>
  <si>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</si>
  <si>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</si>
  <si>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</si>
  <si>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</si>
  <si>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</si>
  <si>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</si>
  <si>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</si>
  <si>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</si>
  <si>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</si>
  <si>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</si>
  <si>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</si>
  <si>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</si>
  <si>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</si>
  <si>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</si>
  <si>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</si>
  <si>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</si>
  <si>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</si>
  <si>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</si>
  <si>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</si>
  <si>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</si>
  <si>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</si>
  <si>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</si>
  <si>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</si>
  <si>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</si>
  <si>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</si>
  <si>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</si>
  <si>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</si>
  <si>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</si>
  <si>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</si>
  <si>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</si>
  <si>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</si>
  <si>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</si>
  <si>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</si>
  <si>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</si>
  <si>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</si>
  <si>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</si>
  <si>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</si>
  <si>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</si>
  <si>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</si>
  <si>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</si>
  <si>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</si>
  <si>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</si>
  <si>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</si>
  <si>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</si>
  <si>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</si>
  <si>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</si>
  <si>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</si>
  <si>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</si>
  <si>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</si>
  <si>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</si>
  <si>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</si>
  <si>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</si>
  <si>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</si>
  <si>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</si>
  <si>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</si>
  <si>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</si>
  <si>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</si>
  <si>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</si>
  <si>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</si>
  <si>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</si>
  <si>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</si>
  <si>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</si>
  <si>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</si>
  <si>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</si>
  <si>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</si>
  <si>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</si>
  <si>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</si>
  <si>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</si>
  <si>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</si>
  <si>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</si>
  <si>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</si>
  <si>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</si>
  <si>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</si>
  <si>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</si>
  <si>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</si>
  <si>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</si>
  <si>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</si>
  <si>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</si>
  <si>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</si>
  <si>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</si>
  <si>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</si>
  <si>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</si>
  <si>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</si>
  <si>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</si>
  <si>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</si>
  <si>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</si>
  <si>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</si>
  <si>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</si>
  <si>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</si>
  <si>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</si>
  <si>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</si>
  <si>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</si>
  <si>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</si>
  <si>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</si>
  <si>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</si>
  <si>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</si>
  <si>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</si>
  <si>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</si>
  <si>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</si>
  <si>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</si>
  <si>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</si>
  <si>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</si>
  <si>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</si>
  <si>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</si>
  <si>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</si>
  <si>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</si>
  <si>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</si>
  <si>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</si>
  <si>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</si>
  <si>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</si>
  <si>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</si>
  <si>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Instrumental</t>
  </si>
  <si>
    <t>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</si>
  <si>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</si>
  <si>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</si>
  <si>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</si>
  <si>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</si>
  <si>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</si>
  <si>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</si>
  <si>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</si>
  <si>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</si>
  <si>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</si>
  <si>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</si>
  <si>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</si>
  <si>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</si>
  <si>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</si>
  <si>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</si>
  <si>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</si>
  <si>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</si>
  <si>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</si>
  <si>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</si>
  <si>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</si>
  <si>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</si>
  <si>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</si>
  <si>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</si>
  <si>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</si>
  <si>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</si>
  <si>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</si>
  <si>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</si>
  <si>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</si>
  <si>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</si>
  <si>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</si>
  <si>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</si>
  <si>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</si>
  <si>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</si>
  <si>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</si>
  <si>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Número de entidades agregadas</t>
  </si>
  <si>
    <t>OTROS INDICADORES Y MAGNITUDES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</si>
  <si>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</si>
  <si>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</si>
  <si>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</si>
  <si>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</si>
  <si>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</si>
  <si>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</si>
  <si>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</si>
  <si>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</si>
  <si>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</si>
  <si>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</si>
  <si>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</si>
  <si>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</si>
  <si>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</si>
  <si>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</si>
  <si>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</si>
  <si>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</si>
  <si>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</si>
  <si>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</si>
  <si>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(b) Incluye en el denominador: los gastos (8+9+10+11+13) y en el numerador: Los epígrafes III y IV de E) Acreedores a corto plazo del pasivo.</t>
  </si>
  <si>
    <t>(a) Incluye en el denominador la totalidad de los gastos (A.2+16+19+20) y en el numerador el epígrafe III acreedores del pasivo del balance.</t>
  </si>
  <si>
    <t>DE LA CUENTA DE DEL RDO. ECONÓMICO PATRIMONIAL</t>
  </si>
  <si>
    <t>Entidades autónomas de carácter mercantil, industrial, financiero o análogo</t>
  </si>
  <si>
    <t>Avales prestados por la Generalitat a las entidades autónomas comerciales</t>
  </si>
  <si>
    <r>
      <t>FUENTE</t>
    </r>
    <r>
      <rPr>
        <sz val="12"/>
        <rFont val="Times New Roman"/>
        <family val="1"/>
      </rPr>
      <t>: Elaboración propia a partir de las cuentas rendidas.</t>
    </r>
  </si>
  <si>
    <t>ESTADO DEL REMANENTE DE TESORERÍA AGREGADO</t>
  </si>
  <si>
    <t xml:space="preserve">    a) Impuesto sobre la renta de las personas físicas, de sociedades y de patrimonio</t>
  </si>
  <si>
    <t xml:space="preserve">    b) Otros impuestos: Impuestos ligados a la producción e importación</t>
  </si>
  <si>
    <t xml:space="preserve">    c) Impuestos sobre el capital: Impuesto sobre sucesiones y donaciones</t>
  </si>
  <si>
    <t xml:space="preserve">    d) Ingresos tributarios, ventas y prestaciones de servicios de las UNIVERSIDADES</t>
  </si>
  <si>
    <t xml:space="preserve">    e) Ingresos tributarios de entes de carácter comercial </t>
  </si>
  <si>
    <t>ENTIDADES NO AGREGADAS POR FALTA DE RENDICIÓN DE CUENTAS</t>
  </si>
  <si>
    <t>ENTIDADES CON ACTIVIDAD</t>
  </si>
  <si>
    <t>ENTIDADES SIN ACTIVIDAD</t>
  </si>
  <si>
    <t>Consorcio Valenciano de Cooperativas con Sección de Crédito</t>
  </si>
  <si>
    <t>Número de entidades no agregadas</t>
  </si>
  <si>
    <t>X112</t>
  </si>
  <si>
    <t>PGC público 1981 y PGC público 1994</t>
  </si>
  <si>
    <t xml:space="preserve">   1. Coste del inmovilizado material</t>
  </si>
  <si>
    <t xml:space="preserve">   2. Amortizaciones</t>
  </si>
  <si>
    <t xml:space="preserve">   1. Coste del inmovilizado inmaterial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</si>
</sst>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s>
  <fonts count="18">
    <font>
      <sz val="10"/>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2"/>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4">
    <border>
      <left/>
      <right/>
      <top/>
      <bottom/>
      <diagonal/>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0" fillId="0" borderId="0">
      <alignment/>
      <protection/>
    </xf>
    <xf numFmtId="168" fontId="8" fillId="0" borderId="0">
      <alignment/>
      <protection/>
    </xf>
    <xf numFmtId="168" fontId="8" fillId="0" borderId="0">
      <alignment/>
      <protection/>
    </xf>
    <xf numFmtId="37" fontId="8" fillId="0" borderId="0">
      <alignment/>
      <protection/>
    </xf>
  </cellStyleXfs>
  <cellXfs count="247">
    <xf numFmtId="0" fontId="0" fillId="0" borderId="0" xfId="0"/>
    <xf numFmtId="0" fontId="4" fillId="2" borderId="0" xfId="0" applyFont="1" applyFill="1" applyBorder="1" applyAlignment="1">
      <alignment horizontal="left"/>
    </xf>
    <xf numFmtId="0" fontId="0" fillId="2" borderId="0" xfId="0" applyFill="1"/>
    <xf numFmtId="0" fontId="3" fillId="2" borderId="0" xfId="0" applyFont="1" applyFill="1"/>
    <xf numFmtId="0" fontId="6" fillId="2" borderId="0" xfId="0" applyFont="1" applyFill="1" applyBorder="1" applyAlignment="1">
      <alignment horizontal="left"/>
    </xf>
    <xf numFmtId="168" fontId="9" fillId="2" borderId="0" xfId="22" applyFont="1" applyFill="1" applyAlignment="1" applyProtection="1">
      <alignment horizontal="left"/>
      <protection/>
    </xf>
    <xf numFmtId="168" fontId="9" fillId="2" borderId="0" xfId="22" applyFont="1" applyFill="1" applyProtection="1">
      <alignment/>
      <protection/>
    </xf>
    <xf numFmtId="168" fontId="9" fillId="2" borderId="0" xfId="22" applyFont="1" applyFill="1" applyAlignment="1" applyProtection="1">
      <alignment horizontal="right"/>
      <protection/>
    </xf>
    <xf numFmtId="1" fontId="9" fillId="2" borderId="0" xfId="22" applyNumberFormat="1" applyFont="1" applyFill="1" applyAlignment="1" applyProtection="1">
      <alignment horizontal="right"/>
      <protection/>
    </xf>
    <xf numFmtId="168" fontId="10" fillId="2" borderId="0" xfId="22" applyFont="1" applyFill="1" applyProtection="1">
      <alignment/>
      <protection/>
    </xf>
    <xf numFmtId="168" fontId="9" fillId="2" borderId="1" xfId="22" applyFont="1" applyFill="1" applyBorder="1" applyProtection="1">
      <alignment/>
      <protection/>
    </xf>
    <xf numFmtId="168" fontId="10" fillId="2" borderId="1" xfId="22" applyFont="1" applyFill="1" applyBorder="1" applyProtection="1">
      <alignment/>
      <protection/>
    </xf>
    <xf numFmtId="168" fontId="4" fillId="2" borderId="1" xfId="22" applyFont="1" applyFill="1" applyBorder="1" applyAlignment="1" applyProtection="1">
      <alignment horizontal="right"/>
      <protection/>
    </xf>
    <xf numFmtId="4" fontId="3" fillId="2" borderId="1" xfId="0" applyNumberFormat="1" applyFont="1" applyFill="1" applyBorder="1"/>
    <xf numFmtId="168" fontId="10" fillId="2" borderId="0" xfId="22" applyFont="1" applyFill="1" applyBorder="1" applyProtection="1">
      <alignment/>
      <protection/>
    </xf>
    <xf numFmtId="168" fontId="9" fillId="2" borderId="0" xfId="22" applyFont="1" applyFill="1" applyBorder="1" applyProtection="1">
      <alignment/>
      <protection/>
    </xf>
    <xf numFmtId="168" fontId="4" fillId="2" borderId="0" xfId="22" applyFont="1" applyFill="1" applyBorder="1" applyAlignment="1" applyProtection="1">
      <alignment horizontal="right"/>
      <protection/>
    </xf>
    <xf numFmtId="4" fontId="3" fillId="2" borderId="0" xfId="0" applyNumberFormat="1" applyFont="1" applyFill="1" applyBorder="1"/>
    <xf numFmtId="168" fontId="10" fillId="2" borderId="2" xfId="23" applyFont="1" applyFill="1" applyBorder="1">
      <alignment/>
      <protection/>
    </xf>
    <xf numFmtId="168" fontId="10" fillId="2" borderId="2" xfId="23" applyFont="1" applyFill="1" applyBorder="1" applyProtection="1">
      <alignment/>
      <protection/>
    </xf>
    <xf numFmtId="168" fontId="10" fillId="2" borderId="0" xfId="23" applyFont="1" applyFill="1" applyBorder="1">
      <alignment/>
      <protection/>
    </xf>
    <xf numFmtId="168" fontId="10" fillId="2" borderId="0" xfId="23" applyFont="1" applyFill="1" applyBorder="1" applyProtection="1">
      <alignment/>
      <protection/>
    </xf>
    <xf numFmtId="168" fontId="4" fillId="0" borderId="0" xfId="22" applyFont="1" applyFill="1" applyBorder="1" applyAlignment="1" applyProtection="1">
      <alignment horizontal="right"/>
      <protection/>
    </xf>
    <xf numFmtId="168" fontId="5" fillId="2" borderId="0" xfId="23" applyFont="1" applyFill="1" applyBorder="1">
      <alignment/>
      <protection/>
    </xf>
    <xf numFmtId="168" fontId="9" fillId="2" borderId="0" xfId="23" applyFont="1" applyFill="1" applyBorder="1">
      <alignment/>
      <protection/>
    </xf>
    <xf numFmtId="168" fontId="4" fillId="2" borderId="0" xfId="22" applyFont="1" applyFill="1" applyAlignment="1" applyProtection="1">
      <alignment horizontal="left"/>
      <protection/>
    </xf>
    <xf numFmtId="4" fontId="3" fillId="2" borderId="0" xfId="0" applyNumberFormat="1" applyFont="1" applyFill="1"/>
    <xf numFmtId="0" fontId="6" fillId="3" borderId="1" xfId="0" applyFont="1" applyFill="1" applyBorder="1" applyAlignment="1">
      <alignment horizontal="left" vertical="center" wrapText="1"/>
    </xf>
    <xf numFmtId="1" fontId="6" fillId="3" borderId="1" xfId="0" applyNumberFormat="1"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0" fontId="6" fillId="2" borderId="3" xfId="0" applyFont="1" applyFill="1" applyBorder="1" applyAlignment="1">
      <alignment horizontal="left"/>
    </xf>
    <xf numFmtId="4" fontId="6" fillId="2" borderId="3" xfId="0" applyNumberFormat="1" applyFont="1" applyFill="1" applyBorder="1"/>
    <xf numFmtId="167" fontId="6" fillId="2" borderId="3" xfId="0" applyNumberFormat="1" applyFont="1" applyFill="1" applyBorder="1" applyAlignment="1">
      <alignment horizontal="right"/>
    </xf>
    <xf numFmtId="0" fontId="4" fillId="2" borderId="0" xfId="0" applyFont="1" applyFill="1" applyBorder="1"/>
    <xf numFmtId="0" fontId="4" fillId="2" borderId="0" xfId="0" applyFont="1" applyFill="1"/>
    <xf numFmtId="4" fontId="6" fillId="2" borderId="0" xfId="0" applyNumberFormat="1" applyFont="1" applyFill="1" applyBorder="1"/>
    <xf numFmtId="167" fontId="6" fillId="2" borderId="0" xfId="0" applyNumberFormat="1" applyFont="1" applyFill="1" applyBorder="1" applyAlignment="1">
      <alignment horizontal="right"/>
    </xf>
    <xf numFmtId="167" fontId="4" fillId="2" borderId="0" xfId="0" applyNumberFormat="1" applyFont="1" applyFill="1" applyBorder="1" applyAlignment="1">
      <alignment horizontal="right"/>
    </xf>
    <xf numFmtId="4" fontId="4" fillId="2" borderId="0" xfId="0" applyNumberFormat="1" applyFont="1" applyFill="1" applyBorder="1"/>
    <xf numFmtId="0" fontId="6" fillId="3" borderId="4" xfId="0" applyFont="1" applyFill="1" applyBorder="1" applyAlignment="1">
      <alignment horizontal="left"/>
    </xf>
    <xf numFmtId="4" fontId="6" fillId="3" borderId="4" xfId="0" applyNumberFormat="1" applyFont="1" applyFill="1" applyBorder="1"/>
    <xf numFmtId="167" fontId="6" fillId="3" borderId="4" xfId="0" applyNumberFormat="1" applyFont="1" applyFill="1" applyBorder="1" applyAlignment="1">
      <alignment horizontal="right"/>
    </xf>
    <xf numFmtId="167" fontId="6" fillId="2" borderId="0" xfId="0" applyNumberFormat="1" applyFont="1" applyFill="1" applyBorder="1"/>
    <xf numFmtId="4" fontId="4" fillId="2" borderId="0" xfId="0" applyNumberFormat="1" applyFont="1" applyFill="1"/>
    <xf numFmtId="0" fontId="4" fillId="2" borderId="0" xfId="0" applyFont="1" applyFill="1" applyBorder="1" applyAlignment="1">
      <alignment horizontal="center"/>
    </xf>
    <xf numFmtId="165"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168" fontId="4" fillId="2" borderId="2" xfId="22" applyFont="1" applyFill="1" applyBorder="1" applyAlignment="1" applyProtection="1">
      <alignment horizontal="right"/>
      <protection/>
    </xf>
    <xf numFmtId="168" fontId="4" fillId="2" borderId="0" xfId="22" applyFont="1" applyFill="1" applyProtection="1">
      <alignment/>
      <protection/>
    </xf>
    <xf numFmtId="168" fontId="8" fillId="2" borderId="0" xfId="22" applyFill="1">
      <alignment/>
      <protection/>
    </xf>
    <xf numFmtId="168" fontId="8" fillId="2" borderId="0" xfId="22" applyFont="1" applyFill="1">
      <alignment/>
      <protection/>
    </xf>
    <xf numFmtId="0" fontId="3" fillId="2" borderId="2" xfId="0" applyFont="1" applyFill="1" applyBorder="1"/>
    <xf numFmtId="168" fontId="12" fillId="2" borderId="0" xfId="23" applyFont="1" applyFill="1" applyProtection="1">
      <alignment/>
      <protection locked="0"/>
    </xf>
    <xf numFmtId="168" fontId="4" fillId="2" borderId="0" xfId="23" applyFont="1" applyFill="1" applyProtection="1">
      <alignment/>
      <protection/>
    </xf>
    <xf numFmtId="168" fontId="10" fillId="2" borderId="0" xfId="23" applyFont="1" applyFill="1" applyBorder="1" applyAlignment="1" applyProtection="1">
      <alignment/>
      <protection/>
    </xf>
    <xf numFmtId="1" fontId="4" fillId="2" borderId="0" xfId="22" applyNumberFormat="1" applyFont="1" applyFill="1" applyAlignment="1" applyProtection="1">
      <alignment horizontal="right"/>
      <protection/>
    </xf>
    <xf numFmtId="1" fontId="6" fillId="3" borderId="1" xfId="0" applyNumberFormat="1" applyFont="1" applyFill="1" applyBorder="1" applyAlignment="1">
      <alignment horizontal="left" vertical="center" wrapText="1"/>
    </xf>
    <xf numFmtId="0" fontId="3" fillId="3" borderId="1" xfId="0" applyFont="1" applyFill="1" applyBorder="1"/>
    <xf numFmtId="0" fontId="6" fillId="2" borderId="5" xfId="0" applyFont="1" applyFill="1" applyBorder="1"/>
    <xf numFmtId="4" fontId="6" fillId="2" borderId="5" xfId="0" applyNumberFormat="1" applyFont="1" applyFill="1" applyBorder="1"/>
    <xf numFmtId="0" fontId="4" fillId="2" borderId="5" xfId="0" applyFont="1" applyFill="1" applyBorder="1"/>
    <xf numFmtId="4" fontId="3" fillId="2" borderId="5" xfId="0" applyNumberFormat="1" applyFont="1" applyFill="1" applyBorder="1"/>
    <xf numFmtId="0" fontId="3" fillId="2" borderId="5" xfId="0" applyFont="1" applyFill="1" applyBorder="1"/>
    <xf numFmtId="0" fontId="6" fillId="2" borderId="0" xfId="0" applyFont="1" applyFill="1" applyBorder="1"/>
    <xf numFmtId="0" fontId="3" fillId="2" borderId="0" xfId="0" applyFont="1" applyFill="1" applyBorder="1"/>
    <xf numFmtId="0" fontId="4" fillId="2" borderId="0" xfId="0" applyFont="1" applyFill="1" applyBorder="1" applyAlignment="1">
      <alignment horizontal="left" indent="1"/>
    </xf>
    <xf numFmtId="172"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2" fontId="4" fillId="2" borderId="0" xfId="0" applyNumberFormat="1" applyFont="1" applyFill="1" applyBorder="1" applyAlignment="1">
      <alignment horizontal="right"/>
    </xf>
    <xf numFmtId="0" fontId="11" fillId="2" borderId="0" xfId="0" applyFont="1" applyFill="1" applyBorder="1"/>
    <xf numFmtId="0" fontId="6" fillId="2" borderId="3" xfId="0" applyFont="1" applyFill="1" applyBorder="1"/>
    <xf numFmtId="0" fontId="4" fillId="2" borderId="2" xfId="0" applyFont="1" applyFill="1" applyBorder="1"/>
    <xf numFmtId="172" fontId="4" fillId="2" borderId="2" xfId="0" applyNumberFormat="1" applyFont="1" applyFill="1" applyBorder="1" applyAlignment="1">
      <alignment horizontal="right"/>
    </xf>
    <xf numFmtId="0" fontId="6" fillId="3" borderId="3" xfId="0" applyFont="1" applyFill="1" applyBorder="1"/>
    <xf numFmtId="165" fontId="6" fillId="2" borderId="0" xfId="0" applyNumberFormat="1" applyFont="1" applyFill="1" applyBorder="1" applyAlignment="1">
      <alignment horizontal="right"/>
    </xf>
    <xf numFmtId="168" fontId="5" fillId="2" borderId="1" xfId="23" applyNumberFormat="1" applyFont="1" applyFill="1" applyBorder="1" applyProtection="1">
      <alignment/>
      <protection locked="0"/>
    </xf>
    <xf numFmtId="168" fontId="10" fillId="0" borderId="2" xfId="22" applyFont="1" applyFill="1" applyBorder="1" applyAlignment="1" applyProtection="1">
      <alignment horizontal="right"/>
      <protection/>
    </xf>
    <xf numFmtId="168" fontId="10" fillId="2" borderId="2" xfId="22" applyFont="1" applyFill="1" applyBorder="1" applyAlignment="1" applyProtection="1">
      <alignment horizontal="right"/>
      <protection/>
    </xf>
    <xf numFmtId="168" fontId="10" fillId="2" borderId="2" xfId="22" applyFont="1" applyFill="1" applyBorder="1" applyAlignment="1" applyProtection="1">
      <alignment/>
      <protection/>
    </xf>
    <xf numFmtId="168" fontId="9" fillId="2" borderId="0" xfId="23" applyNumberFormat="1" applyFont="1" applyFill="1" applyBorder="1" applyProtection="1">
      <alignment/>
      <protection locked="0"/>
    </xf>
    <xf numFmtId="168" fontId="5" fillId="3" borderId="1" xfId="23" applyFont="1" applyFill="1" applyBorder="1">
      <alignment/>
      <protection/>
    </xf>
    <xf numFmtId="168" fontId="10" fillId="3" borderId="1" xfId="23" applyFont="1" applyFill="1" applyBorder="1" applyProtection="1">
      <alignment/>
      <protection/>
    </xf>
    <xf numFmtId="0" fontId="4" fillId="2" borderId="0" xfId="0" applyFont="1" applyFill="1" applyBorder="1" applyAlignment="1" applyProtection="1">
      <alignment horizontal="left"/>
      <protection locked="0"/>
    </xf>
    <xf numFmtId="0" fontId="4" fillId="2" borderId="2" xfId="0" applyFont="1" applyFill="1" applyBorder="1" applyAlignment="1">
      <alignment horizontal="left"/>
    </xf>
    <xf numFmtId="0" fontId="6" fillId="2" borderId="2"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Alignment="1">
      <alignment horizontal="left"/>
    </xf>
    <xf numFmtId="0" fontId="4"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1" fontId="9" fillId="2" borderId="0" xfId="22" applyNumberFormat="1" applyFont="1" applyFill="1" applyAlignment="1" applyProtection="1">
      <alignment horizontal="center"/>
      <protection/>
    </xf>
    <xf numFmtId="0" fontId="3" fillId="2" borderId="1" xfId="0" applyFont="1" applyFill="1" applyBorder="1"/>
    <xf numFmtId="169" fontId="13" fillId="2" borderId="0" xfId="23" applyNumberFormat="1" applyFont="1" applyFill="1" applyBorder="1" applyAlignment="1" applyProtection="1" quotePrefix="1">
      <alignment horizontal="right"/>
      <protection locked="0"/>
    </xf>
    <xf numFmtId="0" fontId="0" fillId="0" borderId="2" xfId="0" applyBorder="1"/>
    <xf numFmtId="168" fontId="4" fillId="2" borderId="0" xfId="23" applyFont="1" applyFill="1" applyBorder="1">
      <alignment/>
      <protection/>
    </xf>
    <xf numFmtId="168" fontId="4" fillId="2" borderId="0" xfId="23" applyFont="1" applyFill="1" applyBorder="1" applyProtection="1">
      <alignment/>
      <protection/>
    </xf>
    <xf numFmtId="168" fontId="4" fillId="2" borderId="0" xfId="23" applyFont="1" applyFill="1" applyBorder="1" applyAlignment="1" applyProtection="1">
      <alignment/>
      <protection/>
    </xf>
    <xf numFmtId="169" fontId="12" fillId="2" borderId="0" xfId="23" applyNumberFormat="1" applyFont="1" applyFill="1" applyBorder="1" applyAlignment="1" applyProtection="1" quotePrefix="1">
      <alignment horizontal="center"/>
      <protection locked="0"/>
    </xf>
    <xf numFmtId="168" fontId="3" fillId="2" borderId="0" xfId="22" applyFont="1" applyFill="1" applyProtection="1">
      <alignment/>
      <protection/>
    </xf>
    <xf numFmtId="37" fontId="3" fillId="2" borderId="0" xfId="24" applyFont="1" applyFill="1" applyProtection="1">
      <alignment/>
      <protection/>
    </xf>
    <xf numFmtId="168" fontId="5" fillId="2" borderId="0" xfId="22" applyFont="1" applyFill="1" applyProtection="1">
      <alignment/>
      <protection/>
    </xf>
    <xf numFmtId="4" fontId="2" fillId="2" borderId="0" xfId="22" applyNumberFormat="1" applyFont="1" applyFill="1" applyBorder="1" applyProtection="1">
      <alignment/>
      <protection/>
    </xf>
    <xf numFmtId="168" fontId="2" fillId="2" borderId="0" xfId="22" applyNumberFormat="1" applyFont="1" applyFill="1" applyBorder="1" applyProtection="1">
      <alignment/>
      <protection/>
    </xf>
    <xf numFmtId="165" fontId="4" fillId="2" borderId="6" xfId="0" applyNumberFormat="1" applyFont="1" applyFill="1" applyBorder="1" applyAlignment="1">
      <alignment horizontal="right"/>
    </xf>
    <xf numFmtId="171" fontId="4" fillId="2" borderId="0" xfId="0" applyNumberFormat="1" applyFont="1" applyFill="1" applyBorder="1" applyAlignment="1">
      <alignment horizontal="right"/>
    </xf>
    <xf numFmtId="0" fontId="0" fillId="2" borderId="2" xfId="0" applyFill="1" applyBorder="1"/>
    <xf numFmtId="0" fontId="4" fillId="4" borderId="4" xfId="0" applyFont="1" applyFill="1" applyBorder="1" applyAlignment="1">
      <alignment/>
    </xf>
    <xf numFmtId="0" fontId="9" fillId="3" borderId="1" xfId="0" applyFont="1" applyFill="1" applyBorder="1" applyAlignment="1">
      <alignment vertical="center" wrapText="1"/>
    </xf>
    <xf numFmtId="0" fontId="4" fillId="4" borderId="2" xfId="0" applyFont="1" applyFill="1" applyBorder="1" applyAlignment="1">
      <alignment/>
    </xf>
    <xf numFmtId="0" fontId="6" fillId="4" borderId="2" xfId="0" applyFont="1" applyFill="1" applyBorder="1" applyAlignment="1">
      <alignment/>
    </xf>
    <xf numFmtId="171" fontId="4" fillId="2" borderId="2" xfId="0" applyNumberFormat="1" applyFont="1" applyFill="1" applyBorder="1" applyAlignment="1">
      <alignment horizontal="right"/>
    </xf>
    <xf numFmtId="165" fontId="4" fillId="2" borderId="4" xfId="0" applyNumberFormat="1" applyFont="1" applyFill="1" applyBorder="1" applyAlignment="1">
      <alignment horizontal="right"/>
    </xf>
    <xf numFmtId="0" fontId="6" fillId="2" borderId="6" xfId="0" applyFont="1" applyFill="1" applyBorder="1"/>
    <xf numFmtId="0" fontId="4" fillId="2" borderId="7" xfId="0" applyFont="1" applyFill="1" applyBorder="1"/>
    <xf numFmtId="168" fontId="6" fillId="2" borderId="0" xfId="22" applyFont="1" applyFill="1" applyProtection="1">
      <alignment/>
      <protection/>
    </xf>
    <xf numFmtId="168" fontId="6" fillId="3" borderId="1" xfId="22" applyFont="1" applyFill="1" applyBorder="1" applyAlignment="1" applyProtection="1">
      <alignment horizontal="centerContinuous"/>
      <protection/>
    </xf>
    <xf numFmtId="168" fontId="4" fillId="3" borderId="1" xfId="22" applyFont="1" applyFill="1" applyBorder="1" applyAlignment="1" applyProtection="1">
      <alignment horizontal="centerContinuous"/>
      <protection/>
    </xf>
    <xf numFmtId="0" fontId="6" fillId="2" borderId="0" xfId="0" applyFont="1" applyFill="1" applyBorder="1" applyAlignment="1">
      <alignment horizontal="left" vertical="center" wrapText="1"/>
    </xf>
    <xf numFmtId="168" fontId="6" fillId="2" borderId="6" xfId="22" applyFont="1" applyFill="1" applyBorder="1" applyAlignment="1" applyProtection="1">
      <alignment horizontal="center"/>
      <protection/>
    </xf>
    <xf numFmtId="168" fontId="4" fillId="2" borderId="0" xfId="22" applyFont="1" applyFill="1" applyBorder="1" applyAlignment="1" applyProtection="1">
      <alignment horizontal="center"/>
      <protection/>
    </xf>
    <xf numFmtId="4" fontId="4" fillId="2" borderId="0" xfId="22" applyNumberFormat="1" applyFont="1" applyFill="1" applyBorder="1" applyProtection="1">
      <alignment/>
      <protection locked="0"/>
    </xf>
    <xf numFmtId="4" fontId="4" fillId="2" borderId="7" xfId="22" applyNumberFormat="1" applyFont="1" applyFill="1" applyBorder="1" applyProtection="1">
      <alignment/>
      <protection locked="0"/>
    </xf>
    <xf numFmtId="170" fontId="4" fillId="2" borderId="0" xfId="22" applyNumberFormat="1" applyFont="1" applyFill="1" applyBorder="1" applyAlignment="1" applyProtection="1">
      <alignment horizontal="right"/>
      <protection/>
    </xf>
    <xf numFmtId="170" fontId="6" fillId="3" borderId="4" xfId="22" applyNumberFormat="1" applyFont="1" applyFill="1" applyBorder="1" applyAlignment="1" applyProtection="1">
      <alignment horizontal="right"/>
      <protection/>
    </xf>
    <xf numFmtId="168" fontId="6" fillId="2" borderId="0" xfId="22" applyFont="1" applyFill="1" applyBorder="1" applyAlignment="1" applyProtection="1">
      <alignment horizontal="left"/>
      <protection/>
    </xf>
    <xf numFmtId="4" fontId="6" fillId="2" borderId="0" xfId="22" applyNumberFormat="1" applyFont="1" applyFill="1" applyBorder="1" applyProtection="1">
      <alignment/>
      <protection/>
    </xf>
    <xf numFmtId="4" fontId="6" fillId="2" borderId="7" xfId="22" applyNumberFormat="1" applyFont="1" applyFill="1" applyBorder="1" applyProtection="1">
      <alignment/>
      <protection/>
    </xf>
    <xf numFmtId="168" fontId="6" fillId="2" borderId="0" xfId="22" applyNumberFormat="1" applyFont="1" applyFill="1" applyBorder="1" applyProtection="1">
      <alignment/>
      <protection/>
    </xf>
    <xf numFmtId="168" fontId="2" fillId="2" borderId="0" xfId="22" applyFont="1" applyFill="1" applyBorder="1" applyAlignment="1" applyProtection="1">
      <alignment horizontal="left"/>
      <protection/>
    </xf>
    <xf numFmtId="4" fontId="2" fillId="2" borderId="0" xfId="22" applyNumberFormat="1" applyFont="1" applyFill="1" applyBorder="1" applyProtection="1">
      <alignment/>
      <protection locked="0"/>
    </xf>
    <xf numFmtId="168" fontId="6" fillId="2" borderId="7" xfId="22" applyFont="1" applyFill="1" applyBorder="1" applyAlignment="1" applyProtection="1">
      <alignment horizontal="center"/>
      <protection/>
    </xf>
    <xf numFmtId="168" fontId="6" fillId="3" borderId="1" xfId="22" applyFont="1" applyFill="1" applyBorder="1" applyAlignment="1" applyProtection="1">
      <alignment vertical="justify"/>
      <protection/>
    </xf>
    <xf numFmtId="0" fontId="4" fillId="3" borderId="1" xfId="0" applyFont="1" applyFill="1" applyBorder="1"/>
    <xf numFmtId="168" fontId="6" fillId="2" borderId="0" xfId="22" applyFont="1" applyFill="1" applyBorder="1" applyAlignment="1" applyProtection="1">
      <alignment horizontal="center"/>
      <protection/>
    </xf>
    <xf numFmtId="168" fontId="6" fillId="2" borderId="0" xfId="22" applyFont="1" applyFill="1" applyBorder="1" applyAlignment="1" applyProtection="1">
      <alignment horizontal="center" vertical="justify"/>
      <protection/>
    </xf>
    <xf numFmtId="0" fontId="6" fillId="2" borderId="0" xfId="0" applyFont="1" applyFill="1" applyBorder="1" applyAlignment="1">
      <alignment horizontal="center"/>
    </xf>
    <xf numFmtId="0" fontId="4" fillId="2" borderId="7" xfId="0" applyFont="1" applyFill="1" applyBorder="1" applyAlignment="1">
      <alignment horizontal="center"/>
    </xf>
    <xf numFmtId="0" fontId="4" fillId="2" borderId="3" xfId="0" applyFont="1" applyFill="1" applyBorder="1"/>
    <xf numFmtId="4" fontId="4" fillId="2" borderId="3" xfId="22" applyNumberFormat="1" applyFont="1" applyFill="1" applyBorder="1" applyProtection="1">
      <alignment/>
      <protection locked="0"/>
    </xf>
    <xf numFmtId="4" fontId="6" fillId="2" borderId="3" xfId="22" applyNumberFormat="1" applyFont="1" applyFill="1" applyBorder="1" applyProtection="1">
      <alignment/>
      <protection/>
    </xf>
    <xf numFmtId="0" fontId="14" fillId="2" borderId="0" xfId="0" applyFont="1" applyFill="1" applyBorder="1"/>
    <xf numFmtId="0" fontId="6" fillId="2" borderId="3" xfId="0" applyFont="1" applyFill="1" applyBorder="1" applyAlignment="1">
      <alignment/>
    </xf>
    <xf numFmtId="0" fontId="4" fillId="2" borderId="0" xfId="0" applyFont="1" applyFill="1" applyBorder="1" applyAlignment="1">
      <alignment/>
    </xf>
    <xf numFmtId="4" fontId="6" fillId="2" borderId="7" xfId="22" applyNumberFormat="1" applyFont="1" applyFill="1" applyBorder="1" applyProtection="1">
      <alignment/>
      <protection locked="0"/>
    </xf>
    <xf numFmtId="4" fontId="6" fillId="3" borderId="4" xfId="22" applyNumberFormat="1" applyFont="1" applyFill="1" applyBorder="1" applyProtection="1">
      <alignment/>
      <protection/>
    </xf>
    <xf numFmtId="0" fontId="15" fillId="2" borderId="0" xfId="0" applyFont="1" applyFill="1"/>
    <xf numFmtId="164" fontId="4" fillId="2" borderId="2" xfId="0" applyNumberFormat="1" applyFont="1" applyFill="1" applyBorder="1" applyAlignment="1">
      <alignment horizontal="righ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16" fillId="2" borderId="12"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16" fillId="2" borderId="14" xfId="0" applyNumberFormat="1" applyFont="1" applyFill="1" applyBorder="1" applyAlignment="1">
      <alignment horizontal="center" vertical="center" wrapText="1"/>
    </xf>
    <xf numFmtId="0" fontId="3" fillId="2" borderId="16" xfId="0" applyFont="1" applyFill="1" applyBorder="1"/>
    <xf numFmtId="4" fontId="17" fillId="5" borderId="12" xfId="0" applyNumberFormat="1" applyFont="1" applyFill="1" applyBorder="1" applyProtection="1">
      <protection locked="0"/>
    </xf>
    <xf numFmtId="0" fontId="3" fillId="2" borderId="11" xfId="0" applyFont="1" applyFill="1" applyBorder="1"/>
    <xf numFmtId="0" fontId="2" fillId="2" borderId="17" xfId="0" applyFont="1" applyFill="1" applyBorder="1" applyAlignment="1">
      <alignment horizontal="center"/>
    </xf>
    <xf numFmtId="4" fontId="2" fillId="2" borderId="18" xfId="0" applyNumberFormat="1" applyFont="1" applyFill="1" applyBorder="1"/>
    <xf numFmtId="4" fontId="2" fillId="2" borderId="19" xfId="0" applyNumberFormat="1" applyFont="1" applyFill="1" applyBorder="1"/>
    <xf numFmtId="0" fontId="3" fillId="2" borderId="15" xfId="0" applyFont="1" applyFill="1" applyBorder="1"/>
    <xf numFmtId="0" fontId="6" fillId="3" borderId="1" xfId="0" applyFont="1" applyFill="1" applyBorder="1" applyAlignment="1">
      <alignment horizontal="right" vertical="center" wrapText="1"/>
    </xf>
    <xf numFmtId="0" fontId="6" fillId="2" borderId="6" xfId="0" applyFont="1" applyFill="1" applyBorder="1" applyAlignment="1">
      <alignment/>
    </xf>
    <xf numFmtId="4" fontId="6" fillId="2" borderId="6" xfId="0" applyNumberFormat="1" applyFont="1" applyFill="1" applyBorder="1"/>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68" fontId="6" fillId="3" borderId="1" xfId="22" applyFont="1" applyFill="1" applyBorder="1" applyAlignment="1" applyProtection="1">
      <alignment/>
      <protection/>
    </xf>
    <xf numFmtId="168" fontId="2" fillId="2" borderId="6" xfId="22" applyFont="1" applyFill="1" applyBorder="1" applyAlignment="1" applyProtection="1">
      <alignment horizontal="center" wrapText="1"/>
      <protection/>
    </xf>
    <xf numFmtId="0" fontId="6" fillId="3" borderId="4" xfId="0" applyFont="1" applyFill="1" applyBorder="1" applyAlignment="1">
      <alignment/>
    </xf>
    <xf numFmtId="0" fontId="6" fillId="2" borderId="3" xfId="0" applyFont="1" applyFill="1" applyBorder="1" applyAlignment="1">
      <alignment horizontal="right"/>
    </xf>
    <xf numFmtId="0" fontId="6" fillId="3" borderId="4" xfId="0" applyFont="1" applyFill="1" applyBorder="1" applyAlignment="1">
      <alignment horizontal="right" wrapText="1"/>
    </xf>
    <xf numFmtId="0" fontId="6" fillId="3" borderId="4" xfId="0" applyFont="1" applyFill="1" applyBorder="1" applyAlignment="1">
      <alignment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4" borderId="11" xfId="0" applyFont="1" applyFill="1" applyBorder="1"/>
    <xf numFmtId="0" fontId="3" fillId="4" borderId="11" xfId="0" applyFont="1" applyFill="1" applyBorder="1"/>
    <xf numFmtId="0" fontId="2" fillId="2" borderId="11" xfId="0" applyFont="1" applyFill="1" applyBorder="1" applyAlignment="1">
      <alignment wrapText="1"/>
    </xf>
    <xf numFmtId="0" fontId="2" fillId="2" borderId="17" xfId="0" applyFont="1" applyFill="1" applyBorder="1" applyAlignment="1">
      <alignment wrapText="1"/>
    </xf>
    <xf numFmtId="0" fontId="2" fillId="2" borderId="24" xfId="0" applyFont="1" applyFill="1" applyBorder="1"/>
    <xf numFmtId="0" fontId="3" fillId="2" borderId="25" xfId="0" applyFont="1" applyFill="1" applyBorder="1"/>
    <xf numFmtId="0" fontId="2" fillId="4" borderId="25" xfId="0" applyFont="1" applyFill="1" applyBorder="1"/>
    <xf numFmtId="0" fontId="2" fillId="2" borderId="25" xfId="0" applyFont="1" applyFill="1" applyBorder="1"/>
    <xf numFmtId="0" fontId="2" fillId="2" borderId="26" xfId="0" applyFont="1" applyFill="1" applyBorder="1"/>
    <xf numFmtId="4" fontId="4" fillId="2" borderId="27" xfId="22" applyNumberFormat="1" applyFont="1" applyFill="1" applyBorder="1" applyProtection="1">
      <alignment/>
      <protection locked="0"/>
    </xf>
    <xf numFmtId="168" fontId="6" fillId="2" borderId="6" xfId="22" applyFont="1" applyFill="1" applyBorder="1" applyAlignment="1" applyProtection="1">
      <alignment horizontal="left"/>
      <protection/>
    </xf>
    <xf numFmtId="168" fontId="6" fillId="2" borderId="28" xfId="22" applyFont="1" applyFill="1" applyBorder="1" applyAlignment="1" applyProtection="1">
      <alignment/>
      <protection/>
    </xf>
    <xf numFmtId="1" fontId="6" fillId="2" borderId="0" xfId="22" applyNumberFormat="1" applyFont="1" applyFill="1" applyAlignment="1" applyProtection="1">
      <alignment horizontal="right"/>
      <protection/>
    </xf>
    <xf numFmtId="1" fontId="6" fillId="2" borderId="0" xfId="0" applyNumberFormat="1" applyFont="1" applyFill="1"/>
    <xf numFmtId="0" fontId="0" fillId="2" borderId="7" xfId="0" applyFill="1" applyBorder="1"/>
    <xf numFmtId="1" fontId="4" fillId="2" borderId="0" xfId="0" applyNumberFormat="1" applyFont="1" applyFill="1" applyBorder="1" applyAlignment="1" applyProtection="1">
      <alignment horizontal="left"/>
      <protection locked="0"/>
    </xf>
    <xf numFmtId="168" fontId="6" fillId="3" borderId="1" xfId="23" applyFont="1" applyFill="1" applyBorder="1" applyAlignment="1" applyProtection="1">
      <alignment vertical="center"/>
      <protection/>
    </xf>
    <xf numFmtId="165" fontId="4" fillId="2" borderId="0" xfId="0" applyNumberFormat="1" applyFont="1" applyFill="1"/>
    <xf numFmtId="0" fontId="0" fillId="0" borderId="0" xfId="0" applyAlignment="1">
      <alignment shrinkToFit="1"/>
    </xf>
    <xf numFmtId="4" fontId="6" fillId="2" borderId="3" xfId="0" applyNumberFormat="1" applyFont="1" applyFill="1" applyBorder="1" applyAlignment="1">
      <alignment horizontal="right"/>
    </xf>
    <xf numFmtId="4" fontId="6" fillId="2" borderId="0" xfId="0" applyNumberFormat="1" applyFont="1" applyFill="1" applyBorder="1" applyAlignment="1">
      <alignment horizontal="right"/>
    </xf>
    <xf numFmtId="4" fontId="4" fillId="2" borderId="0" xfId="0" applyNumberFormat="1" applyFont="1" applyFill="1" applyBorder="1" applyAlignment="1" applyProtection="1">
      <alignment horizontal="right"/>
      <protection locked="0"/>
    </xf>
    <xf numFmtId="4" fontId="6" fillId="3" borderId="4" xfId="0" applyNumberFormat="1" applyFont="1" applyFill="1" applyBorder="1" applyAlignment="1">
      <alignment horizontal="right"/>
    </xf>
    <xf numFmtId="4" fontId="6" fillId="3" borderId="3" xfId="0" applyNumberFormat="1" applyFont="1" applyFill="1" applyBorder="1" applyAlignment="1">
      <alignment horizontal="right"/>
    </xf>
    <xf numFmtId="4" fontId="6" fillId="2" borderId="5" xfId="0" applyNumberFormat="1" applyFont="1" applyFill="1" applyBorder="1" applyAlignment="1">
      <alignment horizontal="right"/>
    </xf>
    <xf numFmtId="4" fontId="4" fillId="2" borderId="0" xfId="22" applyNumberFormat="1" applyFont="1" applyFill="1" applyBorder="1" applyAlignment="1" applyProtection="1">
      <alignment horizontal="right"/>
      <protection locked="0"/>
    </xf>
    <xf numFmtId="4" fontId="6" fillId="3" borderId="4" xfId="22" applyNumberFormat="1" applyFont="1" applyFill="1" applyBorder="1" applyAlignment="1" applyProtection="1">
      <alignment horizontal="right"/>
      <protection locked="0"/>
    </xf>
    <xf numFmtId="4" fontId="4" fillId="2" borderId="2" xfId="22" applyNumberFormat="1" applyFont="1" applyFill="1" applyBorder="1" applyAlignment="1" applyProtection="1">
      <alignment horizontal="right"/>
      <protection locked="0"/>
    </xf>
    <xf numFmtId="4" fontId="4" fillId="2" borderId="7" xfId="22" applyNumberFormat="1" applyFont="1" applyFill="1" applyBorder="1" applyAlignment="1" applyProtection="1">
      <alignment horizontal="right"/>
      <protection locked="0"/>
    </xf>
    <xf numFmtId="4" fontId="4" fillId="2" borderId="3" xfId="22" applyNumberFormat="1" applyFont="1" applyFill="1" applyBorder="1" applyAlignment="1" applyProtection="1">
      <alignment horizontal="right"/>
      <protection locked="0"/>
    </xf>
    <xf numFmtId="4" fontId="6" fillId="2" borderId="3" xfId="22" applyNumberFormat="1" applyFont="1" applyFill="1" applyBorder="1" applyAlignment="1" applyProtection="1">
      <alignment horizontal="right"/>
      <protection/>
    </xf>
    <xf numFmtId="4" fontId="6" fillId="2" borderId="7" xfId="22" applyNumberFormat="1" applyFont="1" applyFill="1" applyBorder="1" applyAlignment="1" applyProtection="1">
      <alignment horizontal="right"/>
      <protection locked="0"/>
    </xf>
    <xf numFmtId="4" fontId="6" fillId="3" borderId="4" xfId="22" applyNumberFormat="1" applyFont="1" applyFill="1" applyBorder="1" applyAlignment="1" applyProtection="1">
      <alignment horizontal="right"/>
      <protection/>
    </xf>
    <xf numFmtId="166" fontId="6" fillId="3" borderId="4" xfId="22" applyNumberFormat="1" applyFont="1" applyFill="1" applyBorder="1" applyAlignment="1" applyProtection="1">
      <alignment horizontal="right"/>
      <protection locked="0"/>
    </xf>
    <xf numFmtId="4" fontId="6" fillId="2" borderId="6" xfId="0" applyNumberFormat="1" applyFont="1" applyFill="1" applyBorder="1" applyAlignment="1">
      <alignment horizontal="right"/>
    </xf>
    <xf numFmtId="4" fontId="6" fillId="3" borderId="4" xfId="0" applyNumberFormat="1" applyFont="1" applyFill="1" applyBorder="1" applyAlignment="1">
      <alignment horizontal="right" wrapText="1"/>
    </xf>
    <xf numFmtId="0" fontId="4" fillId="2" borderId="0" xfId="0" applyFont="1" applyFill="1" applyAlignment="1">
      <alignment horizontal="right"/>
    </xf>
    <xf numFmtId="0" fontId="4" fillId="2" borderId="6" xfId="0" applyFont="1" applyFill="1" applyBorder="1"/>
    <xf numFmtId="0" fontId="6" fillId="2" borderId="6" xfId="0" applyFont="1" applyFill="1" applyBorder="1" applyAlignment="1">
      <alignment horizontal="left"/>
    </xf>
    <xf numFmtId="167" fontId="6" fillId="2" borderId="6" xfId="0" applyNumberFormat="1" applyFont="1" applyFill="1" applyBorder="1" applyAlignment="1">
      <alignment horizontal="right"/>
    </xf>
    <xf numFmtId="0" fontId="4" fillId="2" borderId="0" xfId="0" applyFont="1" applyFill="1" applyBorder="1" applyAlignment="1">
      <alignment horizontal="justify" vertical="center" wrapText="1" readingOrder="1"/>
    </xf>
    <xf numFmtId="168" fontId="10" fillId="2" borderId="2" xfId="22" applyFont="1" applyFill="1" applyBorder="1" applyAlignment="1" applyProtection="1">
      <alignment horizontal="right"/>
      <protection/>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0" xfId="0" applyFont="1" applyFill="1" applyBorder="1" applyAlignment="1">
      <alignment horizontal="left"/>
    </xf>
    <xf numFmtId="168" fontId="6" fillId="3" borderId="4" xfId="22" applyFont="1" applyFill="1" applyBorder="1" applyAlignment="1" applyProtection="1">
      <alignment horizontal="left"/>
      <protection/>
    </xf>
    <xf numFmtId="168" fontId="6" fillId="2" borderId="0" xfId="22" applyFont="1" applyFill="1" applyBorder="1" applyAlignment="1" applyProtection="1">
      <alignment horizontal="center"/>
      <protection/>
    </xf>
    <xf numFmtId="168" fontId="6" fillId="3" borderId="1" xfId="22" applyFont="1" applyFill="1" applyBorder="1" applyAlignment="1" applyProtection="1">
      <alignment horizontal="center"/>
      <protection/>
    </xf>
    <xf numFmtId="0" fontId="6" fillId="3" borderId="1" xfId="0" applyFont="1" applyFill="1" applyBorder="1" applyAlignment="1">
      <alignment horizontal="left" vertical="center" wrapText="1"/>
    </xf>
    <xf numFmtId="168" fontId="6" fillId="2" borderId="29" xfId="22" applyFont="1" applyFill="1" applyBorder="1" applyAlignment="1" applyProtection="1">
      <alignment horizontal="center"/>
      <protection/>
    </xf>
    <xf numFmtId="168" fontId="6" fillId="2" borderId="6" xfId="22" applyFont="1" applyFill="1" applyBorder="1" applyAlignment="1" applyProtection="1">
      <alignment horizontal="center"/>
      <protection/>
    </xf>
    <xf numFmtId="168" fontId="6" fillId="2" borderId="30" xfId="22" applyFont="1" applyFill="1" applyBorder="1" applyAlignment="1" applyProtection="1">
      <alignment horizontal="center"/>
      <protection/>
    </xf>
    <xf numFmtId="168" fontId="6" fillId="2" borderId="0" xfId="22" applyFont="1" applyFill="1" applyBorder="1" applyAlignment="1" applyProtection="1">
      <alignment horizontal="left"/>
      <protection/>
    </xf>
    <xf numFmtId="168" fontId="6" fillId="2" borderId="6" xfId="22" applyFont="1" applyFill="1" applyBorder="1" applyAlignment="1" applyProtection="1">
      <alignment horizontal="left"/>
      <protection/>
    </xf>
    <xf numFmtId="168" fontId="6" fillId="3" borderId="31" xfId="22" applyFont="1" applyFill="1" applyBorder="1" applyAlignment="1" applyProtection="1">
      <alignment horizontal="left" vertical="center"/>
      <protection/>
    </xf>
    <xf numFmtId="0" fontId="6" fillId="2" borderId="3" xfId="0" applyFont="1" applyFill="1" applyBorder="1" applyAlignment="1">
      <alignment horizontal="left"/>
    </xf>
    <xf numFmtId="0" fontId="6" fillId="3" borderId="4" xfId="0" applyFont="1" applyFill="1" applyBorder="1" applyAlignment="1">
      <alignment horizontal="left"/>
    </xf>
    <xf numFmtId="0" fontId="4" fillId="2" borderId="2" xfId="0" applyFont="1" applyFill="1" applyBorder="1" applyAlignment="1">
      <alignment horizontal="left"/>
    </xf>
    <xf numFmtId="0" fontId="4" fillId="2" borderId="6" xfId="0" applyFont="1" applyFill="1" applyBorder="1" applyAlignment="1">
      <alignment horizontal="left"/>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No-definido" xfId="20"/>
    <cellStyle name="Normal 2" xfId="21"/>
    <cellStyle name="Normal_cuenta 00 AGOST" xfId="22"/>
    <cellStyle name="Normal_cuenta 01 AGOST" xfId="23"/>
    <cellStyle name="Normal_E. de liquidación del presupu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523875</xdr:colOff>
      <xdr:row>1</xdr:row>
      <xdr:rowOff>9525</xdr:rowOff>
    </xdr:to>
    <xdr:pic>
      <xdr:nvPicPr>
        <xdr:cNvPr id="1081"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85725"/>
          <a:ext cx="514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2105"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3129"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428625</xdr:colOff>
      <xdr:row>1</xdr:row>
      <xdr:rowOff>114300</xdr:rowOff>
    </xdr:to>
    <xdr:pic>
      <xdr:nvPicPr>
        <xdr:cNvPr id="6201"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572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1</xdr:row>
      <xdr:rowOff>38100</xdr:rowOff>
    </xdr:to>
    <xdr:pic>
      <xdr:nvPicPr>
        <xdr:cNvPr id="4154" name="Picture 2"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000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38100</xdr:rowOff>
    </xdr:to>
    <xdr:pic>
      <xdr:nvPicPr>
        <xdr:cNvPr id="5177"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19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38100</xdr:rowOff>
    </xdr:to>
    <xdr:pic>
      <xdr:nvPicPr>
        <xdr:cNvPr id="7176"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19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995\21400_X112_199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995\21401_X112_19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Acerno_Cache_XXXXX"/>
      <sheetName val="1120"/>
      <sheetName val="2111"/>
      <sheetName val="5100"/>
      <sheetName val="5120"/>
      <sheetName val="6100"/>
      <sheetName val="7100"/>
      <sheetName val="8100"/>
      <sheetName val="1100"/>
    </sheetNames>
    <sheetDataSet>
      <sheetData sheetId="0"/>
      <sheetData sheetId="1"/>
      <sheetData sheetId="2">
        <row r="4">
          <cell r="D4" t="str">
            <v>6.914.252,33</v>
          </cell>
          <cell r="L4" t="str">
            <v>7.950.000,38</v>
          </cell>
        </row>
        <row r="5">
          <cell r="D5" t="str">
            <v>7.775.595,78</v>
          </cell>
          <cell r="L5" t="str">
            <v>0,00</v>
          </cell>
        </row>
        <row r="6">
          <cell r="D6" t="str">
            <v>-1.428.869,65</v>
          </cell>
        </row>
        <row r="7">
          <cell r="D7" t="str">
            <v>0,00</v>
          </cell>
          <cell r="L7" t="str">
            <v>0,00</v>
          </cell>
        </row>
        <row r="8">
          <cell r="D8" t="str">
            <v>567.526,21</v>
          </cell>
          <cell r="L8" t="str">
            <v>0,00</v>
          </cell>
        </row>
        <row r="9">
          <cell r="D9" t="str">
            <v>0,00</v>
          </cell>
          <cell r="L9" t="str">
            <v>0,00</v>
          </cell>
        </row>
        <row r="11">
          <cell r="L11" t="str">
            <v>0,00</v>
          </cell>
        </row>
        <row r="12">
          <cell r="L12" t="str">
            <v>0,00</v>
          </cell>
        </row>
        <row r="13">
          <cell r="D13" t="str">
            <v>28.616,48</v>
          </cell>
          <cell r="L13" t="str">
            <v>0,00</v>
          </cell>
        </row>
        <row r="14">
          <cell r="D14" t="str">
            <v>101.523,93</v>
          </cell>
        </row>
        <row r="15">
          <cell r="D15" t="str">
            <v>-72.907,45</v>
          </cell>
          <cell r="L15" t="str">
            <v>0,00</v>
          </cell>
        </row>
        <row r="16">
          <cell r="L16" t="str">
            <v>688.285,62</v>
          </cell>
        </row>
        <row r="17">
          <cell r="D17" t="str">
            <v>0,00</v>
          </cell>
          <cell r="L17" t="str">
            <v>1.396.706,07</v>
          </cell>
        </row>
        <row r="18">
          <cell r="D18" t="str">
            <v>0,00</v>
          </cell>
          <cell r="L18" t="str">
            <v>0,00</v>
          </cell>
        </row>
        <row r="19">
          <cell r="D19" t="str">
            <v>0,00</v>
          </cell>
          <cell r="L19" t="str">
            <v>0,00</v>
          </cell>
        </row>
        <row r="20">
          <cell r="D20" t="str">
            <v>0,00</v>
          </cell>
          <cell r="L20" t="str">
            <v>0,00</v>
          </cell>
        </row>
        <row r="21">
          <cell r="D21" t="str">
            <v>0,00</v>
          </cell>
          <cell r="L21" t="str">
            <v>1.173.958,09</v>
          </cell>
        </row>
        <row r="22">
          <cell r="D22" t="str">
            <v>0,00</v>
          </cell>
          <cell r="L22" t="str">
            <v>930.539,17</v>
          </cell>
        </row>
        <row r="23">
          <cell r="D23" t="str">
            <v>0,00</v>
          </cell>
          <cell r="L23" t="str">
            <v>238.878,13</v>
          </cell>
        </row>
        <row r="24">
          <cell r="D24" t="str">
            <v>34.191,58</v>
          </cell>
          <cell r="L24" t="str">
            <v>45.182,41</v>
          </cell>
        </row>
        <row r="25">
          <cell r="L25" t="str">
            <v>55.519,80</v>
          </cell>
        </row>
        <row r="28">
          <cell r="L28" t="str">
            <v>0,00</v>
          </cell>
        </row>
        <row r="29">
          <cell r="L29" t="str">
            <v>0,00</v>
          </cell>
        </row>
        <row r="30">
          <cell r="D30" t="str">
            <v>1.032.614,39</v>
          </cell>
          <cell r="L30" t="str">
            <v>0,00</v>
          </cell>
        </row>
        <row r="31">
          <cell r="D31" t="str">
            <v>79.578,26</v>
          </cell>
        </row>
        <row r="32">
          <cell r="D32" t="str">
            <v>0,00</v>
          </cell>
        </row>
        <row r="33">
          <cell r="D33" t="str">
            <v>0,00</v>
          </cell>
        </row>
        <row r="35">
          <cell r="D35" t="str">
            <v>0,00</v>
          </cell>
        </row>
        <row r="36">
          <cell r="D36" t="str">
            <v>0,00</v>
          </cell>
        </row>
        <row r="37">
          <cell r="D37" t="str">
            <v>0,00</v>
          </cell>
        </row>
        <row r="38">
          <cell r="D38" t="str">
            <v>0,00</v>
          </cell>
        </row>
        <row r="39">
          <cell r="D39" t="str">
            <v>491,03</v>
          </cell>
        </row>
        <row r="40">
          <cell r="D40" t="str">
            <v>805.332,82</v>
          </cell>
        </row>
        <row r="41">
          <cell r="D41" t="str">
            <v>0,00</v>
          </cell>
        </row>
        <row r="42">
          <cell r="D42" t="str">
            <v>0,00</v>
          </cell>
        </row>
        <row r="43">
          <cell r="D43" t="str">
            <v>0,00</v>
          </cell>
        </row>
        <row r="44">
          <cell r="D44" t="str">
            <v>3.583.992,78</v>
          </cell>
          <cell r="R44">
            <v>596326223</v>
          </cell>
        </row>
      </sheetData>
      <sheetData sheetId="3">
        <row r="4">
          <cell r="D4" t="str">
            <v>2.078.059,69</v>
          </cell>
          <cell r="L4" t="str">
            <v>3.424.543,44</v>
          </cell>
        </row>
        <row r="5">
          <cell r="D5" t="str">
            <v>4.483.013,23</v>
          </cell>
          <cell r="L5" t="str">
            <v>120.577,23</v>
          </cell>
        </row>
        <row r="6">
          <cell r="D6" t="str">
            <v>106.978,93</v>
          </cell>
          <cell r="L6" t="str">
            <v>0,00</v>
          </cell>
        </row>
        <row r="7">
          <cell r="D7" t="str">
            <v>52.470,44</v>
          </cell>
          <cell r="L7" t="str">
            <v>0,00</v>
          </cell>
        </row>
        <row r="8">
          <cell r="D8" t="str">
            <v>6.847.768,65</v>
          </cell>
          <cell r="L8" t="str">
            <v>0,00</v>
          </cell>
        </row>
        <row r="9">
          <cell r="D9" t="str">
            <v>0,00</v>
          </cell>
          <cell r="L9" t="str">
            <v>0,00</v>
          </cell>
        </row>
        <row r="10">
          <cell r="D10" t="str">
            <v>0,00</v>
          </cell>
          <cell r="L10" t="str">
            <v>8.826.338,30</v>
          </cell>
        </row>
        <row r="11">
          <cell r="D11" t="str">
            <v>1.895.882,83</v>
          </cell>
          <cell r="L11" t="str">
            <v>0,00</v>
          </cell>
        </row>
        <row r="12">
          <cell r="D12" t="str">
            <v>144.242,91</v>
          </cell>
          <cell r="L12" t="str">
            <v>177.790,01</v>
          </cell>
        </row>
        <row r="13">
          <cell r="D13" t="str">
            <v>401.158,02</v>
          </cell>
          <cell r="L13" t="str">
            <v>0,00</v>
          </cell>
        </row>
        <row r="17">
          <cell r="D17" t="str">
            <v>30.525,87</v>
          </cell>
        </row>
        <row r="18">
          <cell r="D18" t="str">
            <v>0,00</v>
          </cell>
          <cell r="L18" t="str">
            <v>0,00</v>
          </cell>
        </row>
        <row r="19">
          <cell r="D19" t="str">
            <v>0,00</v>
          </cell>
          <cell r="L19" t="str">
            <v>0,00</v>
          </cell>
        </row>
        <row r="20">
          <cell r="D20" t="str">
            <v>30.525,87</v>
          </cell>
          <cell r="L20" t="str">
            <v>9.165,58</v>
          </cell>
        </row>
        <row r="23">
          <cell r="D23" t="str">
            <v>0,00</v>
          </cell>
          <cell r="L23" t="str">
            <v>0,00</v>
          </cell>
        </row>
        <row r="26">
          <cell r="D26" t="str">
            <v>113.856,54</v>
          </cell>
          <cell r="L26" t="str">
            <v>11.549,76</v>
          </cell>
        </row>
      </sheetData>
      <sheetData sheetId="4">
        <row r="5">
          <cell r="D5" t="str">
            <v>4.271.116,56</v>
          </cell>
          <cell r="E5" t="str">
            <v>174.196,47</v>
          </cell>
          <cell r="F5" t="str">
            <v>4.445.313,03</v>
          </cell>
          <cell r="G5" t="str">
            <v>4.437.931,74</v>
          </cell>
          <cell r="H5" t="str">
            <v>4.437.931,14</v>
          </cell>
          <cell r="I5" t="str">
            <v>7.381,90</v>
          </cell>
          <cell r="J5" t="str">
            <v>4.358.272,31</v>
          </cell>
          <cell r="K5" t="str">
            <v>79.658,82</v>
          </cell>
        </row>
        <row r="6">
          <cell r="D6" t="str">
            <v>4.708.004,28</v>
          </cell>
          <cell r="E6" t="str">
            <v>1.460.603,94</v>
          </cell>
          <cell r="F6" t="str">
            <v>6.168.608,22</v>
          </cell>
          <cell r="G6" t="str">
            <v>5.752.072,53</v>
          </cell>
          <cell r="H6" t="str">
            <v>5.623.863,74</v>
          </cell>
          <cell r="I6" t="str">
            <v>544.744,48</v>
          </cell>
          <cell r="J6" t="str">
            <v>4.961.703,44</v>
          </cell>
          <cell r="K6" t="str">
            <v>662.160,30</v>
          </cell>
        </row>
        <row r="7">
          <cell r="D7" t="str">
            <v>30.050,61</v>
          </cell>
          <cell r="E7" t="str">
            <v>78.131,57</v>
          </cell>
          <cell r="F7" t="str">
            <v>108.182,18</v>
          </cell>
          <cell r="G7" t="str">
            <v>106.190,35</v>
          </cell>
          <cell r="H7" t="str">
            <v>106.190,35</v>
          </cell>
          <cell r="I7" t="str">
            <v>1.991,83</v>
          </cell>
          <cell r="J7" t="str">
            <v>83.694,73</v>
          </cell>
          <cell r="K7" t="str">
            <v>22.495,62</v>
          </cell>
        </row>
        <row r="8">
          <cell r="D8" t="str">
            <v>1.736.924,98</v>
          </cell>
          <cell r="E8" t="str">
            <v>627.553,16</v>
          </cell>
          <cell r="F8" t="str">
            <v>2.364.478,14</v>
          </cell>
          <cell r="G8" t="str">
            <v>2.227.242,23</v>
          </cell>
          <cell r="H8" t="str">
            <v>1.895.882,83</v>
          </cell>
          <cell r="I8" t="str">
            <v>468.595,31</v>
          </cell>
          <cell r="J8" t="str">
            <v>1.469.441,89</v>
          </cell>
          <cell r="K8" t="str">
            <v>426.440,94</v>
          </cell>
        </row>
        <row r="9">
          <cell r="D9" t="str">
            <v>903.615,69</v>
          </cell>
          <cell r="E9" t="str">
            <v>60.101,21</v>
          </cell>
          <cell r="F9" t="str">
            <v>963.716,90</v>
          </cell>
          <cell r="G9" t="str">
            <v>923.758,41</v>
          </cell>
          <cell r="H9" t="str">
            <v>833.496,30</v>
          </cell>
          <cell r="I9" t="str">
            <v>130.220,60</v>
          </cell>
          <cell r="J9" t="str">
            <v>606.502,23</v>
          </cell>
          <cell r="K9" t="str">
            <v>226.994,07</v>
          </cell>
        </row>
        <row r="10">
          <cell r="D10" t="str">
            <v>1.202.024,21</v>
          </cell>
          <cell r="E10" t="str">
            <v>-645.199,73</v>
          </cell>
          <cell r="F10" t="str">
            <v>556.824,48</v>
          </cell>
          <cell r="G10" t="str">
            <v>331.328,40</v>
          </cell>
          <cell r="H10" t="str">
            <v>144.242,91</v>
          </cell>
          <cell r="I10" t="str">
            <v>412.581,58</v>
          </cell>
          <cell r="J10" t="str">
            <v>144.242,91</v>
          </cell>
          <cell r="K10" t="str">
            <v>0,00</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1.586.275,29</v>
          </cell>
          <cell r="E21" t="str">
            <v>38.968,15</v>
          </cell>
          <cell r="F21" t="str">
            <v>1.625.243,43</v>
          </cell>
          <cell r="G21" t="str">
            <v>11.798,56</v>
          </cell>
          <cell r="H21" t="str">
            <v>209.894,33</v>
          </cell>
          <cell r="I21" t="str">
            <v>0,00</v>
          </cell>
          <cell r="J21" t="str">
            <v>-198.095,77</v>
          </cell>
        </row>
        <row r="22">
          <cell r="D22" t="str">
            <v>9.336.212,18</v>
          </cell>
          <cell r="E22" t="str">
            <v>2.064.148,79</v>
          </cell>
          <cell r="F22" t="str">
            <v>11.400.360,97</v>
          </cell>
          <cell r="G22" t="str">
            <v>8.826.338,30</v>
          </cell>
          <cell r="H22" t="str">
            <v>9.101.934,75</v>
          </cell>
          <cell r="I22" t="str">
            <v>1.173.958,09</v>
          </cell>
          <cell r="J22" t="str">
            <v>-275.596,44</v>
          </cell>
        </row>
        <row r="23">
          <cell r="D23" t="str">
            <v>90.151,82</v>
          </cell>
          <cell r="E23" t="str">
            <v>0,00</v>
          </cell>
          <cell r="F23" t="str">
            <v>90.151,82</v>
          </cell>
          <cell r="G23" t="str">
            <v>95.473,28</v>
          </cell>
          <cell r="H23" t="str">
            <v>67.656,14</v>
          </cell>
          <cell r="I23" t="str">
            <v>0,00</v>
          </cell>
          <cell r="J23" t="str">
            <v>27.817,14</v>
          </cell>
        </row>
        <row r="24">
          <cell r="D24" t="str">
            <v>0,00</v>
          </cell>
          <cell r="E24" t="str">
            <v>0,00</v>
          </cell>
          <cell r="F24" t="str">
            <v>0,00</v>
          </cell>
          <cell r="G24" t="str">
            <v>0,00</v>
          </cell>
          <cell r="H24" t="str">
            <v>0,00</v>
          </cell>
          <cell r="I24" t="str">
            <v>0,00</v>
          </cell>
          <cell r="J24" t="str">
            <v>0,00</v>
          </cell>
        </row>
        <row r="25">
          <cell r="D25" t="str">
            <v>1.839.097,04</v>
          </cell>
          <cell r="E25" t="str">
            <v>-585.098,52</v>
          </cell>
          <cell r="F25" t="str">
            <v>1.253.998,52</v>
          </cell>
          <cell r="G25" t="str">
            <v>1.125.261,73</v>
          </cell>
          <cell r="H25" t="str">
            <v>905.865,79</v>
          </cell>
          <cell r="I25" t="str">
            <v>0,00</v>
          </cell>
          <cell r="J25" t="str">
            <v>219.395,93</v>
          </cell>
        </row>
        <row r="26">
          <cell r="D26" t="str">
            <v>0,00</v>
          </cell>
          <cell r="E26" t="str">
            <v>237.367,61</v>
          </cell>
          <cell r="F26" t="str">
            <v>237.367,61</v>
          </cell>
          <cell r="G26" t="str">
            <v>0,00</v>
          </cell>
          <cell r="H26" t="str">
            <v>0,00</v>
          </cell>
          <cell r="I26" t="str">
            <v>0,00</v>
          </cell>
          <cell r="J26" t="str">
            <v>0,00</v>
          </cell>
        </row>
        <row r="27">
          <cell r="D27" t="str">
            <v>0,00</v>
          </cell>
          <cell r="E27" t="str">
            <v>0,00</v>
          </cell>
          <cell r="F27" t="str">
            <v>0,00</v>
          </cell>
          <cell r="G27" t="str">
            <v>0,00</v>
          </cell>
          <cell r="H27" t="str">
            <v>0,00</v>
          </cell>
          <cell r="I27" t="str">
            <v>0,00</v>
          </cell>
          <cell r="J27" t="str">
            <v>0,00</v>
          </cell>
        </row>
      </sheetData>
      <sheetData sheetId="5">
        <row r="4">
          <cell r="D4" t="str">
            <v>10.058.871,88</v>
          </cell>
          <cell r="E4" t="str">
            <v>13.041.607,26</v>
          </cell>
        </row>
        <row r="5">
          <cell r="D5" t="str">
            <v>0,00</v>
          </cell>
          <cell r="E5" t="str">
            <v>0,00</v>
          </cell>
        </row>
        <row r="6">
          <cell r="D6" t="str">
            <v>0,00</v>
          </cell>
          <cell r="E6" t="str">
            <v>0,00</v>
          </cell>
        </row>
        <row r="8">
          <cell r="D8" t="str">
            <v>0,00</v>
          </cell>
          <cell r="E8" t="str">
            <v>0,00</v>
          </cell>
        </row>
        <row r="10">
          <cell r="F10" t="str">
            <v>0,00</v>
          </cell>
        </row>
        <row r="11">
          <cell r="F11" t="str">
            <v>0,00</v>
          </cell>
        </row>
        <row r="12">
          <cell r="F12" t="str">
            <v>0,00</v>
          </cell>
        </row>
      </sheetData>
      <sheetData sheetId="6">
        <row r="3">
          <cell r="D3" t="str">
            <v>-61.765,44</v>
          </cell>
        </row>
        <row r="4">
          <cell r="D4" t="str">
            <v>-226.479,14</v>
          </cell>
        </row>
        <row r="5">
          <cell r="D5" t="str">
            <v>0,00</v>
          </cell>
        </row>
        <row r="6">
          <cell r="D6" t="str">
            <v>79.578,26</v>
          </cell>
        </row>
        <row r="7">
          <cell r="D7" t="str">
            <v>85.135,44</v>
          </cell>
        </row>
        <row r="8">
          <cell r="D8" t="str">
            <v>0,00</v>
          </cell>
        </row>
        <row r="9">
          <cell r="D9" t="str">
            <v>0,00</v>
          </cell>
        </row>
        <row r="10">
          <cell r="D10" t="str">
            <v>3.276.442,45</v>
          </cell>
        </row>
        <row r="11">
          <cell r="D11" t="str">
            <v>1.417.749,76</v>
          </cell>
        </row>
        <row r="12">
          <cell r="D12" t="str">
            <v>102.670,42</v>
          </cell>
        </row>
        <row r="13">
          <cell r="D13" t="str">
            <v>1.145.525,81</v>
          </cell>
        </row>
        <row r="14">
          <cell r="D14" t="str">
            <v>610.496,47</v>
          </cell>
        </row>
        <row r="15">
          <cell r="D15" t="str">
            <v>0,00</v>
          </cell>
        </row>
        <row r="16">
          <cell r="D16" t="str">
            <v>805.823,84</v>
          </cell>
        </row>
        <row r="17">
          <cell r="D17" t="str">
            <v>0,00</v>
          </cell>
        </row>
        <row r="18">
          <cell r="D18" t="str">
            <v>-2.532.384,05</v>
          </cell>
        </row>
        <row r="19">
          <cell r="D19" t="str">
            <v>-2.532.384,05</v>
          </cell>
        </row>
        <row r="23">
          <cell r="D23" t="str">
            <v>21.366.180,48</v>
          </cell>
        </row>
        <row r="24">
          <cell r="D24" t="str">
            <v>10.285.351,02</v>
          </cell>
        </row>
        <row r="25">
          <cell r="D25" t="str">
            <v>3.074.004,96</v>
          </cell>
        </row>
        <row r="26">
          <cell r="D26" t="str">
            <v>3.359.752,83</v>
          </cell>
        </row>
        <row r="27">
          <cell r="D27" t="str">
            <v>4.647.071,66</v>
          </cell>
        </row>
        <row r="28">
          <cell r="D28" t="str">
            <v>21.384.971,95</v>
          </cell>
        </row>
        <row r="29">
          <cell r="D29" t="str">
            <v>11.623.857,50</v>
          </cell>
        </row>
        <row r="30">
          <cell r="D30" t="str">
            <v>1.582.678,01</v>
          </cell>
        </row>
        <row r="31">
          <cell r="D31" t="str">
            <v>3.681.854,67</v>
          </cell>
        </row>
        <row r="32">
          <cell r="D32" t="str">
            <v>4.496.581,77</v>
          </cell>
        </row>
        <row r="33">
          <cell r="D33" t="str">
            <v>-18.791,47</v>
          </cell>
        </row>
        <row r="34">
          <cell r="D34" t="str">
            <v>824.615,32</v>
          </cell>
        </row>
        <row r="35">
          <cell r="D35" t="str">
            <v>805.823,84</v>
          </cell>
        </row>
      </sheetData>
      <sheetData sheetId="7">
        <row r="5">
          <cell r="D5" t="str">
            <v>85.251,01</v>
          </cell>
          <cell r="E5" t="str">
            <v>0,00</v>
          </cell>
          <cell r="F5" t="str">
            <v>85.251,01</v>
          </cell>
          <cell r="G5" t="str">
            <v>85.251,01</v>
          </cell>
          <cell r="H5" t="str">
            <v>0,00</v>
          </cell>
        </row>
        <row r="6">
          <cell r="D6" t="str">
            <v>719.386,52</v>
          </cell>
          <cell r="E6" t="str">
            <v>-10.301,20</v>
          </cell>
          <cell r="F6" t="str">
            <v>709.085,32</v>
          </cell>
          <cell r="G6" t="str">
            <v>702.573,76</v>
          </cell>
          <cell r="H6" t="str">
            <v>6.511,56</v>
          </cell>
        </row>
        <row r="7">
          <cell r="D7" t="str">
            <v>116.868,93</v>
          </cell>
          <cell r="E7" t="str">
            <v>-113,06</v>
          </cell>
          <cell r="F7" t="str">
            <v>116.755,86</v>
          </cell>
          <cell r="G7" t="str">
            <v>116.755,86</v>
          </cell>
          <cell r="H7" t="str">
            <v>0,00</v>
          </cell>
        </row>
        <row r="8">
          <cell r="D8" t="str">
            <v>473.315,81</v>
          </cell>
          <cell r="E8" t="str">
            <v>0,00</v>
          </cell>
          <cell r="F8" t="str">
            <v>473.315,81</v>
          </cell>
          <cell r="G8" t="str">
            <v>464.000,13</v>
          </cell>
          <cell r="H8" t="str">
            <v>9.315,69</v>
          </cell>
        </row>
        <row r="9">
          <cell r="D9" t="str">
            <v>251.250,14</v>
          </cell>
          <cell r="E9" t="str">
            <v>-1.095,24</v>
          </cell>
          <cell r="F9" t="str">
            <v>250.154,90</v>
          </cell>
          <cell r="G9" t="str">
            <v>204.180,55</v>
          </cell>
          <cell r="H9" t="str">
            <v>45.974,35</v>
          </cell>
        </row>
        <row r="10">
          <cell r="D10" t="str">
            <v>50.785,52</v>
          </cell>
          <cell r="E10" t="str">
            <v>0,00</v>
          </cell>
          <cell r="F10" t="str">
            <v>50.785,52</v>
          </cell>
          <cell r="G10" t="str">
            <v>9.916,70</v>
          </cell>
          <cell r="H10" t="str">
            <v>40.868,82</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4.313,59</v>
          </cell>
          <cell r="E21" t="str">
            <v>0,00</v>
          </cell>
          <cell r="F21" t="str">
            <v>49,88</v>
          </cell>
          <cell r="G21" t="str">
            <v>0,00</v>
          </cell>
          <cell r="H21" t="str">
            <v>4.263,71</v>
          </cell>
          <cell r="I21" t="str">
            <v>4.263,71</v>
          </cell>
          <cell r="J21" t="str">
            <v>0,00</v>
          </cell>
          <cell r="K21" t="str">
            <v>0,00</v>
          </cell>
          <cell r="L21" t="str">
            <v>0,00</v>
          </cell>
        </row>
        <row r="22">
          <cell r="D22" t="str">
            <v>242.218,91</v>
          </cell>
          <cell r="E22" t="str">
            <v>0,00</v>
          </cell>
          <cell r="F22" t="str">
            <v>113.806,66</v>
          </cell>
          <cell r="G22" t="str">
            <v>0,00</v>
          </cell>
          <cell r="H22" t="str">
            <v>128.412,25</v>
          </cell>
          <cell r="I22" t="str">
            <v>128.412,25</v>
          </cell>
          <cell r="J22" t="str">
            <v>0,00</v>
          </cell>
          <cell r="K22" t="str">
            <v>0,00</v>
          </cell>
          <cell r="L22" t="str">
            <v>0,00</v>
          </cell>
        </row>
        <row r="23">
          <cell r="D23" t="str">
            <v>23.069,33</v>
          </cell>
          <cell r="E23" t="str">
            <v>0,00</v>
          </cell>
          <cell r="F23" t="str">
            <v>0,00</v>
          </cell>
          <cell r="G23" t="str">
            <v>0,00</v>
          </cell>
          <cell r="H23" t="str">
            <v>23.069,33</v>
          </cell>
          <cell r="I23" t="str">
            <v>23.069,33</v>
          </cell>
          <cell r="J23" t="str">
            <v>0,00</v>
          </cell>
          <cell r="K23" t="str">
            <v>0,00</v>
          </cell>
          <cell r="L23" t="str">
            <v>0,00</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2.918.259,69</v>
          </cell>
          <cell r="E25" t="str">
            <v>0,00</v>
          </cell>
          <cell r="F25" t="str">
            <v>0,00</v>
          </cell>
          <cell r="G25" t="str">
            <v>0,00</v>
          </cell>
          <cell r="H25" t="str">
            <v>2.918.259,69</v>
          </cell>
          <cell r="I25" t="str">
            <v>2.918.259,69</v>
          </cell>
          <cell r="J25" t="str">
            <v>0,00</v>
          </cell>
          <cell r="K25" t="str">
            <v>0,00</v>
          </cell>
          <cell r="L25" t="str">
            <v>0,00</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210</v>
          </cell>
        </row>
        <row r="10">
          <cell r="H10">
            <v>0</v>
          </cell>
        </row>
      </sheetData>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Acerno_Cache_XXXXX"/>
      <sheetName val="1120"/>
      <sheetName val="2111"/>
      <sheetName val="5100"/>
      <sheetName val="5120"/>
      <sheetName val="6100"/>
      <sheetName val="7100"/>
      <sheetName val="8100"/>
    </sheetNames>
    <sheetDataSet>
      <sheetData sheetId="0"/>
      <sheetData sheetId="1"/>
      <sheetData sheetId="2">
        <row r="4">
          <cell r="D4" t="str">
            <v>6.370.841,47</v>
          </cell>
          <cell r="L4" t="str">
            <v>0,00</v>
          </cell>
        </row>
        <row r="5">
          <cell r="D5" t="str">
            <v>9.727.586,38</v>
          </cell>
          <cell r="L5" t="str">
            <v>3.143.674,36</v>
          </cell>
        </row>
        <row r="6">
          <cell r="D6" t="str">
            <v>-3.356.744,91</v>
          </cell>
        </row>
        <row r="7">
          <cell r="D7" t="str">
            <v>0,00</v>
          </cell>
          <cell r="L7" t="str">
            <v>0,00</v>
          </cell>
        </row>
        <row r="8">
          <cell r="D8" t="str">
            <v>0,00</v>
          </cell>
          <cell r="L8" t="str">
            <v>-331.159,29</v>
          </cell>
        </row>
        <row r="9">
          <cell r="D9" t="str">
            <v>0,00</v>
          </cell>
          <cell r="L9" t="str">
            <v>4.551.738,95</v>
          </cell>
        </row>
        <row r="11">
          <cell r="L11" t="str">
            <v>0,00</v>
          </cell>
        </row>
        <row r="12">
          <cell r="L12" t="str">
            <v>0,00</v>
          </cell>
        </row>
        <row r="13">
          <cell r="D13" t="str">
            <v>29.608,47</v>
          </cell>
          <cell r="L13" t="str">
            <v>0,00</v>
          </cell>
        </row>
        <row r="14">
          <cell r="D14" t="str">
            <v>33.131,36</v>
          </cell>
        </row>
        <row r="15">
          <cell r="D15" t="str">
            <v>-3.522,89</v>
          </cell>
          <cell r="L15" t="str">
            <v>0,00</v>
          </cell>
        </row>
        <row r="16">
          <cell r="L16" t="str">
            <v>179.865,50</v>
          </cell>
        </row>
        <row r="17">
          <cell r="D17" t="str">
            <v>0,00</v>
          </cell>
          <cell r="L17" t="str">
            <v>0,00</v>
          </cell>
        </row>
        <row r="18">
          <cell r="D18" t="str">
            <v>0,00</v>
          </cell>
          <cell r="L18" t="str">
            <v>0,00</v>
          </cell>
        </row>
        <row r="19">
          <cell r="D19" t="str">
            <v>0,00</v>
          </cell>
          <cell r="L19" t="str">
            <v>0,00</v>
          </cell>
        </row>
        <row r="20">
          <cell r="D20" t="str">
            <v>0,00</v>
          </cell>
          <cell r="L20" t="str">
            <v>0,00</v>
          </cell>
        </row>
        <row r="21">
          <cell r="D21" t="str">
            <v>0,00</v>
          </cell>
          <cell r="L21" t="str">
            <v>0,00</v>
          </cell>
        </row>
        <row r="22">
          <cell r="D22" t="str">
            <v>0,00</v>
          </cell>
          <cell r="L22" t="str">
            <v>44.176,28</v>
          </cell>
        </row>
        <row r="23">
          <cell r="D23" t="str">
            <v>0,00</v>
          </cell>
          <cell r="L23" t="str">
            <v>179.176,48</v>
          </cell>
        </row>
        <row r="24">
          <cell r="D24" t="str">
            <v>7.434,55</v>
          </cell>
          <cell r="L24" t="str">
            <v>0,00</v>
          </cell>
        </row>
        <row r="25">
          <cell r="L25" t="str">
            <v>111.564,13</v>
          </cell>
        </row>
        <row r="28">
          <cell r="L28" t="str">
            <v>0,00</v>
          </cell>
        </row>
        <row r="29">
          <cell r="L29" t="str">
            <v>0,00</v>
          </cell>
        </row>
        <row r="30">
          <cell r="D30" t="str">
            <v>1.109.483,37</v>
          </cell>
          <cell r="L30" t="str">
            <v>61.037,05</v>
          </cell>
        </row>
        <row r="31">
          <cell r="D31" t="str">
            <v>1.401,43</v>
          </cell>
        </row>
        <row r="32">
          <cell r="D32" t="str">
            <v>0,00</v>
          </cell>
        </row>
        <row r="33">
          <cell r="D33" t="str">
            <v>0,00</v>
          </cell>
        </row>
        <row r="35">
          <cell r="D35" t="str">
            <v>0,00</v>
          </cell>
        </row>
        <row r="36">
          <cell r="D36" t="str">
            <v>0,00</v>
          </cell>
        </row>
        <row r="37">
          <cell r="D37" t="str">
            <v>0,00</v>
          </cell>
        </row>
        <row r="38">
          <cell r="D38" t="str">
            <v>0,00</v>
          </cell>
        </row>
        <row r="39">
          <cell r="D39" t="str">
            <v>839,95</v>
          </cell>
        </row>
        <row r="40">
          <cell r="D40" t="str">
            <v>420.464,23</v>
          </cell>
        </row>
        <row r="41">
          <cell r="D41" t="str">
            <v>0,00</v>
          </cell>
        </row>
        <row r="42">
          <cell r="D42" t="str">
            <v>0,00</v>
          </cell>
        </row>
        <row r="43">
          <cell r="D43" t="str">
            <v>0,00</v>
          </cell>
        </row>
        <row r="44">
          <cell r="D44" t="str">
            <v>0,00</v>
          </cell>
          <cell r="R44">
            <v>0</v>
          </cell>
        </row>
      </sheetData>
      <sheetData sheetId="3">
        <row r="4">
          <cell r="D4" t="str">
            <v>947,89</v>
          </cell>
          <cell r="L4" t="str">
            <v>35.321,97</v>
          </cell>
        </row>
        <row r="5">
          <cell r="D5" t="str">
            <v>4.361.947,24</v>
          </cell>
          <cell r="L5" t="str">
            <v>49.708,86</v>
          </cell>
        </row>
        <row r="6">
          <cell r="D6" t="str">
            <v>3.684,64</v>
          </cell>
          <cell r="L6" t="str">
            <v>0,00</v>
          </cell>
        </row>
        <row r="7">
          <cell r="D7" t="str">
            <v>9.475,91</v>
          </cell>
          <cell r="L7" t="str">
            <v>0,00</v>
          </cell>
        </row>
        <row r="8">
          <cell r="D8" t="str">
            <v>1.240.142,45</v>
          </cell>
          <cell r="L8" t="str">
            <v>0,00</v>
          </cell>
        </row>
        <row r="9">
          <cell r="D9" t="str">
            <v>0,00</v>
          </cell>
          <cell r="L9" t="str">
            <v>0,00</v>
          </cell>
        </row>
        <row r="10">
          <cell r="D10" t="str">
            <v>0,00</v>
          </cell>
          <cell r="L10" t="str">
            <v>4.326.062,89</v>
          </cell>
        </row>
        <row r="11">
          <cell r="D11" t="str">
            <v>123.437,18</v>
          </cell>
          <cell r="L11" t="str">
            <v>0,00</v>
          </cell>
        </row>
        <row r="12">
          <cell r="D12" t="str">
            <v>0,00</v>
          </cell>
          <cell r="L12" t="str">
            <v>1.905.082,77</v>
          </cell>
        </row>
        <row r="13">
          <cell r="D13" t="str">
            <v>515.504,13</v>
          </cell>
          <cell r="L13" t="str">
            <v>0,00</v>
          </cell>
        </row>
        <row r="17">
          <cell r="D17" t="str">
            <v>0,00</v>
          </cell>
        </row>
        <row r="18">
          <cell r="D18" t="str">
            <v>0,00</v>
          </cell>
          <cell r="L18" t="str">
            <v>0,00</v>
          </cell>
        </row>
        <row r="19">
          <cell r="D19" t="str">
            <v>0,00</v>
          </cell>
          <cell r="L19" t="str">
            <v>0,00</v>
          </cell>
        </row>
        <row r="20">
          <cell r="D20" t="str">
            <v>0,00</v>
          </cell>
          <cell r="L20" t="str">
            <v>0,00</v>
          </cell>
        </row>
        <row r="23">
          <cell r="D23" t="str">
            <v>0,00</v>
          </cell>
          <cell r="L23" t="str">
            <v>0,00</v>
          </cell>
        </row>
        <row r="26">
          <cell r="D26" t="str">
            <v>0,00</v>
          </cell>
          <cell r="L26" t="str">
            <v>0,00</v>
          </cell>
        </row>
      </sheetData>
      <sheetData sheetId="4">
        <row r="5">
          <cell r="D5" t="str">
            <v>3.565.528,35</v>
          </cell>
          <cell r="E5" t="str">
            <v>216.364,36</v>
          </cell>
          <cell r="F5" t="str">
            <v>3.781.892,71</v>
          </cell>
          <cell r="G5" t="str">
            <v>3.470.070,88</v>
          </cell>
          <cell r="H5" t="str">
            <v>3.470.070,88</v>
          </cell>
          <cell r="I5" t="str">
            <v>311.821,82</v>
          </cell>
          <cell r="J5" t="str">
            <v>3.410.943,73</v>
          </cell>
          <cell r="K5" t="str">
            <v>59.127,15</v>
          </cell>
        </row>
        <row r="6">
          <cell r="D6" t="str">
            <v>692.702,51</v>
          </cell>
          <cell r="E6" t="str">
            <v>-109.603,21</v>
          </cell>
          <cell r="F6" t="str">
            <v>583.099,30</v>
          </cell>
          <cell r="G6" t="str">
            <v>583.098,75</v>
          </cell>
          <cell r="H6" t="str">
            <v>583.098,75</v>
          </cell>
          <cell r="I6" t="str">
            <v>0,55</v>
          </cell>
          <cell r="J6" t="str">
            <v>558.893,90</v>
          </cell>
          <cell r="K6" t="str">
            <v>24.204,84</v>
          </cell>
        </row>
        <row r="7">
          <cell r="D7" t="str">
            <v>18.030,36</v>
          </cell>
          <cell r="E7" t="str">
            <v>0,00</v>
          </cell>
          <cell r="F7" t="str">
            <v>18.030,36</v>
          </cell>
          <cell r="G7" t="str">
            <v>3.684,64</v>
          </cell>
          <cell r="H7" t="str">
            <v>3.684,64</v>
          </cell>
          <cell r="I7" t="str">
            <v>14.345,72</v>
          </cell>
          <cell r="J7" t="str">
            <v>3.684,64</v>
          </cell>
          <cell r="K7" t="str">
            <v>0,00</v>
          </cell>
        </row>
        <row r="8">
          <cell r="D8" t="str">
            <v>120.202,42</v>
          </cell>
          <cell r="E8" t="str">
            <v>3.245,47</v>
          </cell>
          <cell r="F8" t="str">
            <v>123.447,89</v>
          </cell>
          <cell r="G8" t="str">
            <v>123.437,18</v>
          </cell>
          <cell r="H8" t="str">
            <v>123.437,18</v>
          </cell>
          <cell r="I8" t="str">
            <v>10,70</v>
          </cell>
          <cell r="J8" t="str">
            <v>123.437,18</v>
          </cell>
          <cell r="K8" t="str">
            <v>0,00</v>
          </cell>
        </row>
        <row r="9">
          <cell r="D9" t="str">
            <v>2.734.004,06</v>
          </cell>
          <cell r="E9" t="str">
            <v>74.839,58</v>
          </cell>
          <cell r="F9" t="str">
            <v>2.808.843,64</v>
          </cell>
          <cell r="G9" t="str">
            <v>2.808.745,59</v>
          </cell>
          <cell r="H9" t="str">
            <v>2.460.972,63</v>
          </cell>
          <cell r="I9" t="str">
            <v>347.871,01</v>
          </cell>
          <cell r="J9" t="str">
            <v>2.364.440,09</v>
          </cell>
          <cell r="K9" t="str">
            <v>96.532,54</v>
          </cell>
        </row>
        <row r="10">
          <cell r="D10" t="str">
            <v>0,00</v>
          </cell>
          <cell r="E10" t="str">
            <v>0,00</v>
          </cell>
          <cell r="F10" t="str">
            <v>0,00</v>
          </cell>
          <cell r="G10" t="str">
            <v>0,00</v>
          </cell>
          <cell r="H10" t="str">
            <v>0,00</v>
          </cell>
          <cell r="I10" t="str">
            <v>0,00</v>
          </cell>
          <cell r="J10" t="str">
            <v>0,00</v>
          </cell>
          <cell r="K10" t="str">
            <v>0,00</v>
          </cell>
        </row>
        <row r="11">
          <cell r="D11" t="str">
            <v>0,00</v>
          </cell>
          <cell r="E11" t="str">
            <v>0,00</v>
          </cell>
          <cell r="F11" t="str">
            <v>0,00</v>
          </cell>
          <cell r="G11" t="str">
            <v>0,00</v>
          </cell>
          <cell r="H11" t="str">
            <v>0,00</v>
          </cell>
          <cell r="I11" t="str">
            <v>0,00</v>
          </cell>
          <cell r="J11" t="str">
            <v>0,00</v>
          </cell>
          <cell r="K11" t="str">
            <v>0,00</v>
          </cell>
        </row>
        <row r="12">
          <cell r="D12" t="str">
            <v>0,00</v>
          </cell>
          <cell r="E12" t="str">
            <v>0,00</v>
          </cell>
          <cell r="F12" t="str">
            <v>0,00</v>
          </cell>
          <cell r="G12" t="str">
            <v>0,00</v>
          </cell>
          <cell r="H12" t="str">
            <v>0,00</v>
          </cell>
          <cell r="I12" t="str">
            <v>0,00</v>
          </cell>
          <cell r="J12" t="str">
            <v>0,00</v>
          </cell>
          <cell r="K12" t="str">
            <v>0,00</v>
          </cell>
        </row>
        <row r="19">
          <cell r="D19" t="str">
            <v>0,00</v>
          </cell>
          <cell r="E19" t="str">
            <v>0,00</v>
          </cell>
          <cell r="F19" t="str">
            <v>0,00</v>
          </cell>
          <cell r="G19" t="str">
            <v>0,00</v>
          </cell>
          <cell r="H19" t="str">
            <v>0,00</v>
          </cell>
          <cell r="I19" t="str">
            <v>0,00</v>
          </cell>
          <cell r="J19" t="str">
            <v>0,00</v>
          </cell>
        </row>
        <row r="20">
          <cell r="D20" t="str">
            <v>0,00</v>
          </cell>
          <cell r="E20" t="str">
            <v>0,00</v>
          </cell>
          <cell r="F20" t="str">
            <v>0,00</v>
          </cell>
          <cell r="G20" t="str">
            <v>0,00</v>
          </cell>
          <cell r="H20" t="str">
            <v>0,00</v>
          </cell>
          <cell r="I20" t="str">
            <v>0,00</v>
          </cell>
          <cell r="J20" t="str">
            <v>0,00</v>
          </cell>
        </row>
        <row r="21">
          <cell r="D21" t="str">
            <v>0,00</v>
          </cell>
          <cell r="E21" t="str">
            <v>0,00</v>
          </cell>
          <cell r="F21" t="str">
            <v>0,00</v>
          </cell>
          <cell r="G21" t="str">
            <v>47.438,35</v>
          </cell>
          <cell r="H21" t="str">
            <v>43.857,92</v>
          </cell>
          <cell r="I21" t="str">
            <v>0,00</v>
          </cell>
          <cell r="J21" t="str">
            <v>3.580,43</v>
          </cell>
        </row>
        <row r="22">
          <cell r="D22" t="str">
            <v>4.343.244,02</v>
          </cell>
          <cell r="E22" t="str">
            <v>-17.181,13</v>
          </cell>
          <cell r="F22" t="str">
            <v>4.326.062,89</v>
          </cell>
          <cell r="G22" t="str">
            <v>4.326.062,89</v>
          </cell>
          <cell r="H22" t="str">
            <v>4.322.817,42</v>
          </cell>
          <cell r="I22" t="str">
            <v>0,00</v>
          </cell>
          <cell r="J22" t="str">
            <v>3.245,47</v>
          </cell>
        </row>
        <row r="23">
          <cell r="D23" t="str">
            <v>53.219,62</v>
          </cell>
          <cell r="E23" t="str">
            <v>0,00</v>
          </cell>
          <cell r="F23" t="str">
            <v>53.219,62</v>
          </cell>
          <cell r="G23" t="str">
            <v>85.030,84</v>
          </cell>
          <cell r="H23" t="str">
            <v>45.979,22</v>
          </cell>
          <cell r="I23" t="str">
            <v>0,00</v>
          </cell>
          <cell r="J23" t="str">
            <v>39.051,61</v>
          </cell>
        </row>
        <row r="24">
          <cell r="D24" t="str">
            <v>0,00</v>
          </cell>
          <cell r="E24" t="str">
            <v>0,00</v>
          </cell>
          <cell r="F24" t="str">
            <v>0,00</v>
          </cell>
          <cell r="G24" t="str">
            <v>0,00</v>
          </cell>
          <cell r="H24" t="str">
            <v>0,00</v>
          </cell>
          <cell r="I24" t="str">
            <v>0,00</v>
          </cell>
          <cell r="J24" t="str">
            <v>0,00</v>
          </cell>
        </row>
        <row r="25">
          <cell r="D25" t="str">
            <v>2.734.004,06</v>
          </cell>
          <cell r="E25" t="str">
            <v>91.921,91</v>
          </cell>
          <cell r="F25" t="str">
            <v>2.825.925,97</v>
          </cell>
          <cell r="G25" t="str">
            <v>2.825.925,97</v>
          </cell>
          <cell r="H25" t="str">
            <v>1.949.258,42</v>
          </cell>
          <cell r="I25" t="str">
            <v>0,00</v>
          </cell>
          <cell r="J25" t="str">
            <v>876.667,55</v>
          </cell>
        </row>
        <row r="26">
          <cell r="D26" t="str">
            <v>0,00</v>
          </cell>
          <cell r="E26" t="str">
            <v>110.105,41</v>
          </cell>
          <cell r="F26" t="str">
            <v>110.105,41</v>
          </cell>
          <cell r="G26" t="str">
            <v>0,00</v>
          </cell>
          <cell r="H26" t="str">
            <v>0,00</v>
          </cell>
          <cell r="I26" t="str">
            <v>0,00</v>
          </cell>
          <cell r="J26" t="str">
            <v>0,00</v>
          </cell>
        </row>
        <row r="27">
          <cell r="D27" t="str">
            <v>0,00</v>
          </cell>
          <cell r="E27" t="str">
            <v>0,00</v>
          </cell>
          <cell r="F27" t="str">
            <v>0,00</v>
          </cell>
          <cell r="G27" t="str">
            <v>0,00</v>
          </cell>
          <cell r="H27" t="str">
            <v>0,00</v>
          </cell>
          <cell r="I27" t="str">
            <v>0,00</v>
          </cell>
          <cell r="J27" t="str">
            <v>0,00</v>
          </cell>
        </row>
      </sheetData>
      <sheetData sheetId="5">
        <row r="4">
          <cell r="D4" t="str">
            <v>7.284.458,06</v>
          </cell>
          <cell r="E4" t="str">
            <v>6.641.264,08</v>
          </cell>
        </row>
        <row r="5">
          <cell r="D5" t="str">
            <v>0,00</v>
          </cell>
          <cell r="E5" t="str">
            <v>0,00</v>
          </cell>
        </row>
        <row r="6">
          <cell r="D6" t="str">
            <v>0,00</v>
          </cell>
          <cell r="E6" t="str">
            <v>0,00</v>
          </cell>
        </row>
        <row r="8">
          <cell r="D8" t="str">
            <v>0,00</v>
          </cell>
          <cell r="E8" t="str">
            <v>0,00</v>
          </cell>
        </row>
        <row r="10">
          <cell r="F10" t="str">
            <v>110.105,41</v>
          </cell>
        </row>
        <row r="11">
          <cell r="F11" t="str">
            <v>0,00</v>
          </cell>
        </row>
        <row r="12">
          <cell r="F12" t="str">
            <v>0,00</v>
          </cell>
        </row>
      </sheetData>
      <sheetData sheetId="6">
        <row r="3">
          <cell r="D3" t="str">
            <v>999.320,66</v>
          </cell>
        </row>
        <row r="4">
          <cell r="D4" t="str">
            <v>922.545,06</v>
          </cell>
        </row>
        <row r="5">
          <cell r="D5" t="str">
            <v>186.938,31</v>
          </cell>
        </row>
        <row r="6">
          <cell r="D6" t="str">
            <v>1.401,43</v>
          </cell>
        </row>
        <row r="7">
          <cell r="D7" t="str">
            <v>0,00</v>
          </cell>
        </row>
        <row r="8">
          <cell r="D8" t="str">
            <v>0,00</v>
          </cell>
        </row>
        <row r="9">
          <cell r="D9" t="str">
            <v>111.564,13</v>
          </cell>
        </row>
        <row r="10">
          <cell r="D10" t="str">
            <v>403.218,26</v>
          </cell>
        </row>
        <row r="11">
          <cell r="D11" t="str">
            <v>179.864,53</v>
          </cell>
        </row>
        <row r="12">
          <cell r="D12" t="str">
            <v>0,97</v>
          </cell>
        </row>
        <row r="13">
          <cell r="D13" t="str">
            <v>223.352,76</v>
          </cell>
        </row>
        <row r="14">
          <cell r="D14" t="str">
            <v>0,00</v>
          </cell>
        </row>
        <row r="15">
          <cell r="D15" t="str">
            <v>0,00</v>
          </cell>
        </row>
        <row r="16">
          <cell r="D16" t="str">
            <v>421.304,18</v>
          </cell>
        </row>
        <row r="17">
          <cell r="D17" t="str">
            <v>0,00</v>
          </cell>
        </row>
        <row r="18">
          <cell r="D18" t="str">
            <v>1.017.406,58</v>
          </cell>
        </row>
        <row r="19">
          <cell r="D19" t="str">
            <v>1.017.406,58</v>
          </cell>
        </row>
        <row r="23">
          <cell r="D23" t="str">
            <v>8.202.662,07</v>
          </cell>
        </row>
        <row r="24">
          <cell r="D24" t="str">
            <v>6.361.912,99</v>
          </cell>
        </row>
        <row r="25">
          <cell r="D25" t="str">
            <v>368.956,66</v>
          </cell>
        </row>
        <row r="26">
          <cell r="D26" t="str">
            <v>1.471.792,42</v>
          </cell>
        </row>
        <row r="27">
          <cell r="D27" t="str">
            <v>0,00</v>
          </cell>
        </row>
        <row r="28">
          <cell r="D28" t="str">
            <v>8.576.683,56</v>
          </cell>
        </row>
        <row r="29">
          <cell r="D29" t="str">
            <v>6.461.399,55</v>
          </cell>
        </row>
        <row r="30">
          <cell r="D30" t="str">
            <v>445.490,43</v>
          </cell>
        </row>
        <row r="31">
          <cell r="D31" t="str">
            <v>1.669.793,58</v>
          </cell>
        </row>
        <row r="32">
          <cell r="D32" t="str">
            <v>0,00</v>
          </cell>
        </row>
        <row r="33">
          <cell r="D33" t="str">
            <v>-374.021,48</v>
          </cell>
        </row>
        <row r="34">
          <cell r="D34" t="str">
            <v>795.325,66</v>
          </cell>
        </row>
        <row r="35">
          <cell r="D35" t="str">
            <v>421.304,18</v>
          </cell>
        </row>
      </sheetData>
      <sheetData sheetId="7">
        <row r="5">
          <cell r="D5" t="str">
            <v>68.224,32</v>
          </cell>
          <cell r="E5" t="str">
            <v>0,00</v>
          </cell>
          <cell r="F5" t="str">
            <v>68.224,32</v>
          </cell>
          <cell r="G5" t="str">
            <v>68.223,35</v>
          </cell>
          <cell r="H5" t="str">
            <v>0,97</v>
          </cell>
        </row>
        <row r="6">
          <cell r="D6" t="str">
            <v>44.692,09</v>
          </cell>
          <cell r="E6" t="str">
            <v>0,00</v>
          </cell>
          <cell r="F6" t="str">
            <v>44.692,09</v>
          </cell>
          <cell r="G6" t="str">
            <v>44.692,09</v>
          </cell>
          <cell r="H6" t="str">
            <v>0,00</v>
          </cell>
        </row>
        <row r="7">
          <cell r="D7" t="str">
            <v>0,00</v>
          </cell>
          <cell r="E7" t="str">
            <v>0,00</v>
          </cell>
          <cell r="F7" t="str">
            <v>0,00</v>
          </cell>
          <cell r="G7" t="str">
            <v>0,00</v>
          </cell>
          <cell r="H7" t="str">
            <v>0,00</v>
          </cell>
        </row>
        <row r="8">
          <cell r="D8" t="str">
            <v>14.334,14</v>
          </cell>
          <cell r="E8" t="str">
            <v>0,00</v>
          </cell>
          <cell r="F8" t="str">
            <v>14.334,14</v>
          </cell>
          <cell r="G8" t="str">
            <v>14.334,14</v>
          </cell>
          <cell r="H8" t="str">
            <v>0,00</v>
          </cell>
        </row>
        <row r="9">
          <cell r="D9" t="str">
            <v>318.240,85</v>
          </cell>
          <cell r="E9" t="str">
            <v>0,00</v>
          </cell>
          <cell r="F9" t="str">
            <v>318.240,85</v>
          </cell>
          <cell r="G9" t="str">
            <v>318.240,85</v>
          </cell>
          <cell r="H9" t="str">
            <v>0,00</v>
          </cell>
        </row>
        <row r="10">
          <cell r="D10" t="str">
            <v>0,00</v>
          </cell>
          <cell r="E10" t="str">
            <v>0,00</v>
          </cell>
          <cell r="F10" t="str">
            <v>0,00</v>
          </cell>
          <cell r="G10" t="str">
            <v>0,00</v>
          </cell>
          <cell r="H10" t="str">
            <v>0,00</v>
          </cell>
        </row>
        <row r="11">
          <cell r="D11" t="str">
            <v>0,00</v>
          </cell>
          <cell r="E11" t="str">
            <v>0,00</v>
          </cell>
          <cell r="F11" t="str">
            <v>0,00</v>
          </cell>
          <cell r="G11" t="str">
            <v>0,00</v>
          </cell>
          <cell r="H11" t="str">
            <v>0,00</v>
          </cell>
        </row>
        <row r="12">
          <cell r="D12" t="str">
            <v>0,00</v>
          </cell>
          <cell r="E12" t="str">
            <v>0,00</v>
          </cell>
          <cell r="F12" t="str">
            <v>0,00</v>
          </cell>
          <cell r="G12" t="str">
            <v>0,00</v>
          </cell>
          <cell r="H12" t="str">
            <v>0,00</v>
          </cell>
        </row>
        <row r="19">
          <cell r="D19" t="str">
            <v>0,00</v>
          </cell>
          <cell r="E19" t="str">
            <v>0,00</v>
          </cell>
          <cell r="F19" t="str">
            <v>0,00</v>
          </cell>
          <cell r="G19" t="str">
            <v>0,00</v>
          </cell>
          <cell r="H19" t="str">
            <v>0,00</v>
          </cell>
          <cell r="I19" t="str">
            <v>0,00</v>
          </cell>
          <cell r="J19" t="str">
            <v>0,00</v>
          </cell>
          <cell r="K19" t="str">
            <v>0,00</v>
          </cell>
          <cell r="L19" t="str">
            <v>0,00</v>
          </cell>
        </row>
        <row r="20">
          <cell r="D20" t="str">
            <v>0,00</v>
          </cell>
          <cell r="E20" t="str">
            <v>0,00</v>
          </cell>
          <cell r="F20" t="str">
            <v>0,00</v>
          </cell>
          <cell r="G20" t="str">
            <v>0,00</v>
          </cell>
          <cell r="H20" t="str">
            <v>0,00</v>
          </cell>
          <cell r="I20" t="str">
            <v>0,00</v>
          </cell>
          <cell r="J20" t="str">
            <v>0,00</v>
          </cell>
          <cell r="K20" t="str">
            <v>0,00</v>
          </cell>
          <cell r="L20" t="str">
            <v>0,00</v>
          </cell>
        </row>
        <row r="21">
          <cell r="D21" t="str">
            <v>0,00</v>
          </cell>
          <cell r="E21" t="str">
            <v>0,00</v>
          </cell>
          <cell r="F21" t="str">
            <v>0,00</v>
          </cell>
          <cell r="G21" t="str">
            <v>0,00</v>
          </cell>
          <cell r="H21" t="str">
            <v>0,00</v>
          </cell>
          <cell r="I21" t="str">
            <v>0,00</v>
          </cell>
          <cell r="J21" t="str">
            <v>0,00</v>
          </cell>
          <cell r="K21" t="str">
            <v>0,00</v>
          </cell>
          <cell r="L21" t="str">
            <v>0,00</v>
          </cell>
        </row>
        <row r="22">
          <cell r="D22" t="str">
            <v>525,89</v>
          </cell>
          <cell r="E22" t="str">
            <v>0,00</v>
          </cell>
          <cell r="F22" t="str">
            <v>0,00</v>
          </cell>
          <cell r="G22" t="str">
            <v>0,00</v>
          </cell>
          <cell r="H22" t="str">
            <v>525,89</v>
          </cell>
          <cell r="I22" t="str">
            <v>525,89</v>
          </cell>
          <cell r="J22" t="str">
            <v>0,00</v>
          </cell>
          <cell r="K22" t="str">
            <v>0,00</v>
          </cell>
          <cell r="L22" t="str">
            <v>0,00</v>
          </cell>
        </row>
        <row r="23">
          <cell r="D23" t="str">
            <v>48.691,04</v>
          </cell>
          <cell r="E23" t="str">
            <v>0,00</v>
          </cell>
          <cell r="F23" t="str">
            <v>0,00</v>
          </cell>
          <cell r="G23" t="str">
            <v>0,00</v>
          </cell>
          <cell r="H23" t="str">
            <v>48.691,04</v>
          </cell>
          <cell r="I23" t="str">
            <v>48.691,04</v>
          </cell>
          <cell r="J23" t="str">
            <v>0,00</v>
          </cell>
          <cell r="K23" t="str">
            <v>0,00</v>
          </cell>
          <cell r="L23" t="str">
            <v>0,00</v>
          </cell>
        </row>
        <row r="24">
          <cell r="D24" t="str">
            <v>0,00</v>
          </cell>
          <cell r="E24" t="str">
            <v>0,00</v>
          </cell>
          <cell r="F24" t="str">
            <v>0,00</v>
          </cell>
          <cell r="G24" t="str">
            <v>0,00</v>
          </cell>
          <cell r="H24" t="str">
            <v>0,00</v>
          </cell>
          <cell r="I24" t="str">
            <v>0,00</v>
          </cell>
          <cell r="J24" t="str">
            <v>0,00</v>
          </cell>
          <cell r="K24" t="str">
            <v>0,00</v>
          </cell>
          <cell r="L24" t="str">
            <v>0,00</v>
          </cell>
        </row>
        <row r="25">
          <cell r="D25" t="str">
            <v>506.678,04</v>
          </cell>
          <cell r="E25" t="str">
            <v>0,00</v>
          </cell>
          <cell r="F25" t="str">
            <v>0,00</v>
          </cell>
          <cell r="G25" t="str">
            <v>0,00</v>
          </cell>
          <cell r="H25" t="str">
            <v>506.678,04</v>
          </cell>
          <cell r="I25" t="str">
            <v>319.739,73</v>
          </cell>
          <cell r="J25" t="str">
            <v>0,00</v>
          </cell>
          <cell r="K25" t="str">
            <v>0,00</v>
          </cell>
          <cell r="L25" t="str">
            <v>186.938,31</v>
          </cell>
        </row>
        <row r="26">
          <cell r="D26" t="str">
            <v>0,00</v>
          </cell>
          <cell r="E26" t="str">
            <v>0,00</v>
          </cell>
          <cell r="F26" t="str">
            <v>0,00</v>
          </cell>
          <cell r="G26" t="str">
            <v>0,00</v>
          </cell>
          <cell r="H26" t="str">
            <v>0,00</v>
          </cell>
          <cell r="I26" t="str">
            <v>0,00</v>
          </cell>
          <cell r="J26" t="str">
            <v>0,00</v>
          </cell>
          <cell r="K26" t="str">
            <v>0,00</v>
          </cell>
          <cell r="L26" t="str">
            <v>0,00</v>
          </cell>
        </row>
        <row r="27">
          <cell r="D27" t="str">
            <v>0,00</v>
          </cell>
          <cell r="E27" t="str">
            <v>0,00</v>
          </cell>
          <cell r="F27" t="str">
            <v>0,00</v>
          </cell>
          <cell r="G27" t="str">
            <v>0,00</v>
          </cell>
          <cell r="H27" t="str">
            <v>0,00</v>
          </cell>
          <cell r="I27" t="str">
            <v>0,00</v>
          </cell>
          <cell r="J27" t="str">
            <v>0,00</v>
          </cell>
          <cell r="K27" t="str">
            <v>0,00</v>
          </cell>
          <cell r="L27" t="str">
            <v>0,00</v>
          </cell>
        </row>
      </sheetData>
      <sheetData sheetId="8">
        <row r="6">
          <cell r="D6">
            <v>148</v>
          </cell>
        </row>
        <row r="10">
          <cell r="H10">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cols>
    <col min="1" max="16384" width="11.421875" style="199"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55"/>
  <sheetViews>
    <sheetView tabSelected="1" zoomScale="75" zoomScaleNormal="75" workbookViewId="0" topLeftCell="A1">
      <selection activeCell="A4" sqref="A4"/>
    </sheetView>
  </sheetViews>
  <sheetFormatPr defaultColWidth="11.421875" defaultRowHeight="12.75"/>
  <cols>
    <col min="1" max="1" width="63.7109375" style="3" customWidth="1"/>
    <col min="2" max="2" width="86.7109375" style="91" customWidth="1"/>
    <col min="3" max="16384" width="11.421875" style="3" customWidth="1"/>
  </cols>
  <sheetData>
    <row r="1" spans="1:207" ht="60" customHeight="1">
      <c r="A1" s="5"/>
      <c r="B1" s="7" t="str">
        <f>"EJERCICIO    "&amp;Balance!I1</f>
        <v>EJERCICIO    1995</v>
      </c>
      <c r="C1" s="9"/>
      <c r="D1" s="9"/>
      <c r="E1" s="9"/>
      <c r="F1" s="9"/>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row>
    <row r="2" spans="1:207" ht="12.95" customHeight="1" thickBot="1">
      <c r="A2" s="5"/>
      <c r="B2" s="6"/>
      <c r="C2" s="9"/>
      <c r="D2" s="9"/>
      <c r="E2" s="9"/>
      <c r="F2" s="9"/>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row>
    <row r="3" spans="1:207" ht="33" customHeight="1">
      <c r="A3" s="75" t="str">
        <f>"                                            "&amp;"ENTIDADES AUTÓNOMAS COMERCIALES"</f>
        <v xml:space="preserve">                                            ENTIDADES AUTÓNOMAS COMERCIALES</v>
      </c>
      <c r="B3" s="10"/>
      <c r="C3" s="9"/>
      <c r="D3" s="9"/>
      <c r="E3" s="9"/>
      <c r="F3" s="9"/>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row>
    <row r="4" spans="1:207" ht="20.1" customHeight="1">
      <c r="A4" s="14" t="str">
        <f>"AGREGADO"</f>
        <v>AGREGADO</v>
      </c>
      <c r="B4" s="79"/>
      <c r="C4" s="9"/>
      <c r="D4" s="9"/>
      <c r="E4" s="9"/>
      <c r="F4" s="9"/>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row>
    <row r="5" spans="1:207" ht="18" customHeight="1" thickBot="1">
      <c r="A5" s="18"/>
      <c r="B5" s="47"/>
      <c r="C5" s="9"/>
      <c r="D5" s="9"/>
      <c r="E5" s="9"/>
      <c r="F5" s="9"/>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row>
    <row r="6" spans="1:207" ht="15" customHeight="1">
      <c r="A6" s="20"/>
      <c r="B6" s="21"/>
      <c r="C6" s="9"/>
      <c r="D6" s="9"/>
      <c r="E6" s="9"/>
      <c r="F6" s="9"/>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row>
    <row r="7" spans="1:207" ht="12.95" customHeight="1" thickBot="1">
      <c r="A7" s="20"/>
      <c r="B7" s="21"/>
      <c r="C7" s="21"/>
      <c r="D7" s="21"/>
      <c r="E7" s="21"/>
      <c r="F7" s="54"/>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row>
    <row r="8" spans="1:207" ht="33" customHeight="1">
      <c r="A8" s="80" t="s">
        <v>30</v>
      </c>
      <c r="B8" s="81"/>
      <c r="C8" s="21"/>
      <c r="D8" s="21"/>
      <c r="E8" s="21"/>
      <c r="F8" s="54"/>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row>
    <row r="9" spans="1:207" ht="12.95" customHeight="1">
      <c r="A9" s="21"/>
      <c r="B9" s="21"/>
      <c r="C9" s="21"/>
      <c r="D9" s="21"/>
      <c r="E9" s="21"/>
      <c r="F9" s="54"/>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row>
    <row r="10" spans="1:2" ht="18" customHeight="1">
      <c r="A10" s="1" t="s">
        <v>31</v>
      </c>
      <c r="B10" s="82" t="s">
        <v>365</v>
      </c>
    </row>
    <row r="11" spans="1:2" ht="18" customHeight="1">
      <c r="A11" s="1" t="s">
        <v>32</v>
      </c>
      <c r="B11" s="82" t="s">
        <v>54</v>
      </c>
    </row>
    <row r="12" spans="1:2" ht="18" customHeight="1">
      <c r="A12" s="1" t="s">
        <v>41</v>
      </c>
      <c r="B12" s="82" t="s">
        <v>423</v>
      </c>
    </row>
    <row r="13" spans="1:2" ht="18" customHeight="1">
      <c r="A13" s="1" t="s">
        <v>400</v>
      </c>
      <c r="B13" s="196">
        <f>COUNTA('Entidades agregadas'!A14:A120)</f>
        <v>2</v>
      </c>
    </row>
    <row r="14" spans="1:2" ht="18" customHeight="1">
      <c r="A14" s="1" t="s">
        <v>436</v>
      </c>
      <c r="B14" s="196">
        <f>COUNTA('Entidades no agregadas'!A14:A15)</f>
        <v>1</v>
      </c>
    </row>
    <row r="15" spans="1:2" ht="12.95" customHeight="1" thickBot="1">
      <c r="A15" s="83"/>
      <c r="B15" s="84"/>
    </row>
    <row r="16" spans="1:2" ht="12.95" customHeight="1">
      <c r="A16" s="1"/>
      <c r="B16" s="85"/>
    </row>
    <row r="17" spans="1:2" ht="12.95" customHeight="1">
      <c r="A17" s="1"/>
      <c r="B17" s="85"/>
    </row>
    <row r="18" spans="1:2" ht="12.95" customHeight="1">
      <c r="A18" s="1"/>
      <c r="B18" s="85"/>
    </row>
    <row r="19" spans="1:2" ht="12.95" customHeight="1" thickBot="1">
      <c r="A19" s="1"/>
      <c r="B19" s="85"/>
    </row>
    <row r="20" spans="1:2" ht="33" customHeight="1">
      <c r="A20" s="80" t="s">
        <v>33</v>
      </c>
      <c r="B20" s="81"/>
    </row>
    <row r="21" ht="12.95" customHeight="1">
      <c r="B21" s="3"/>
    </row>
    <row r="22" spans="1:2" ht="18" customHeight="1">
      <c r="A22" s="1" t="s">
        <v>34</v>
      </c>
      <c r="B22" s="82" t="s">
        <v>42</v>
      </c>
    </row>
    <row r="23" spans="1:2" ht="18" customHeight="1">
      <c r="A23" s="1" t="s">
        <v>35</v>
      </c>
      <c r="B23" s="82" t="s">
        <v>438</v>
      </c>
    </row>
    <row r="24" spans="1:2" ht="12.95" customHeight="1" thickBot="1">
      <c r="A24" s="83"/>
      <c r="B24" s="84"/>
    </row>
    <row r="25" spans="1:2" ht="12.95" customHeight="1">
      <c r="A25" s="1"/>
      <c r="B25" s="85"/>
    </row>
    <row r="26" spans="1:2" ht="12.95" customHeight="1">
      <c r="A26" s="1"/>
      <c r="B26" s="85"/>
    </row>
    <row r="27" spans="1:2" ht="12.95" customHeight="1">
      <c r="A27" s="1"/>
      <c r="B27" s="85"/>
    </row>
    <row r="28" spans="1:2" ht="12.95" customHeight="1" thickBot="1">
      <c r="A28" s="86"/>
      <c r="B28" s="87"/>
    </row>
    <row r="29" spans="1:2" ht="33" customHeight="1">
      <c r="A29" s="80" t="s">
        <v>36</v>
      </c>
      <c r="B29" s="81"/>
    </row>
    <row r="30" ht="12.95" customHeight="1">
      <c r="B30" s="3"/>
    </row>
    <row r="31" spans="1:2" ht="12.95" customHeight="1">
      <c r="A31" s="88"/>
      <c r="B31" s="221" t="s">
        <v>367</v>
      </c>
    </row>
    <row r="32" spans="1:2" ht="18" customHeight="1">
      <c r="A32" s="88"/>
      <c r="B32" s="221"/>
    </row>
    <row r="33" spans="1:2" ht="18" customHeight="1">
      <c r="A33" s="88"/>
      <c r="B33" s="221"/>
    </row>
    <row r="34" spans="1:2" ht="18" customHeight="1">
      <c r="A34" s="88"/>
      <c r="B34" s="221"/>
    </row>
    <row r="35" spans="1:2" ht="18" customHeight="1">
      <c r="A35" s="88"/>
      <c r="B35" s="221"/>
    </row>
    <row r="36" spans="1:2" ht="18" customHeight="1">
      <c r="A36" s="88"/>
      <c r="B36" s="221"/>
    </row>
    <row r="37" spans="1:2" ht="13.5" customHeight="1" thickBot="1">
      <c r="A37" s="83"/>
      <c r="B37" s="89"/>
    </row>
    <row r="38" spans="1:2" ht="12.95" customHeight="1">
      <c r="A38" s="88"/>
      <c r="B38" s="82"/>
    </row>
    <row r="39" spans="1:2" ht="12.95" customHeight="1">
      <c r="A39" s="88"/>
      <c r="B39" s="82"/>
    </row>
    <row r="40" spans="1:2" ht="12.95" customHeight="1">
      <c r="A40" s="88"/>
      <c r="B40" s="82"/>
    </row>
    <row r="41" spans="1:2" ht="12.95" customHeight="1" thickBot="1">
      <c r="A41" s="88"/>
      <c r="B41" s="87"/>
    </row>
    <row r="42" spans="1:2" ht="33" customHeight="1">
      <c r="A42" s="80" t="s">
        <v>37</v>
      </c>
      <c r="B42" s="81"/>
    </row>
    <row r="43" ht="12.95" customHeight="1">
      <c r="B43" s="3"/>
    </row>
    <row r="44" spans="1:2" ht="18" customHeight="1">
      <c r="A44" s="1"/>
      <c r="B44" s="221" t="s">
        <v>366</v>
      </c>
    </row>
    <row r="45" spans="1:2" ht="18" customHeight="1">
      <c r="A45" s="86"/>
      <c r="B45" s="221"/>
    </row>
    <row r="46" spans="1:2" ht="18" customHeight="1">
      <c r="A46" s="86"/>
      <c r="B46" s="221"/>
    </row>
    <row r="47" spans="1:2" ht="18" customHeight="1">
      <c r="A47" s="86"/>
      <c r="B47" s="221"/>
    </row>
    <row r="48" spans="1:2" ht="18" customHeight="1">
      <c r="A48" s="86"/>
      <c r="B48" s="221"/>
    </row>
    <row r="49" spans="1:2" ht="18" customHeight="1">
      <c r="A49" s="86"/>
      <c r="B49" s="221"/>
    </row>
    <row r="50" spans="1:2" ht="18" customHeight="1">
      <c r="A50" s="86"/>
      <c r="B50" s="221"/>
    </row>
    <row r="51" spans="1:2" ht="18" customHeight="1">
      <c r="A51" s="86"/>
      <c r="B51" s="221"/>
    </row>
    <row r="52" spans="1:2" ht="12.95" customHeight="1" thickBot="1">
      <c r="A52" s="90"/>
      <c r="B52" s="90"/>
    </row>
    <row r="54" ht="18" customHeight="1">
      <c r="A54" s="63" t="s">
        <v>425</v>
      </c>
    </row>
    <row r="55" spans="1:2" ht="18" customHeight="1">
      <c r="A55" s="33"/>
      <c r="B55" s="33"/>
    </row>
  </sheetData>
  <sheetProtection sheet="1" objects="1" scenarios="1"/>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3"/>
  <sheetViews>
    <sheetView zoomScale="75" zoomScaleNormal="75" workbookViewId="0" topLeftCell="A1"/>
  </sheetViews>
  <sheetFormatPr defaultColWidth="11.421875" defaultRowHeight="12.75"/>
  <cols>
    <col min="1" max="1" width="70.00390625" style="3" customWidth="1"/>
    <col min="2" max="2" width="18.00390625" style="26" customWidth="1"/>
    <col min="3" max="3" width="9.7109375" style="26" customWidth="1"/>
    <col min="4" max="4" width="34.00390625" style="26" hidden="1" customWidth="1"/>
    <col min="5" max="5" width="46.00390625" style="26" hidden="1" customWidth="1"/>
    <col min="6" max="6" width="3.28125" style="3" customWidth="1"/>
    <col min="7" max="7" width="66.28125" style="3" customWidth="1"/>
    <col min="8" max="8" width="18.00390625" style="26" customWidth="1"/>
    <col min="9" max="9" width="20.421875" style="3" customWidth="1"/>
    <col min="10" max="11" width="20.421875" style="3" hidden="1" customWidth="1"/>
    <col min="12" max="12" width="20.421875" style="3" customWidth="1"/>
    <col min="13" max="16384" width="11.421875" style="3" customWidth="1"/>
  </cols>
  <sheetData>
    <row r="1" spans="1:9" s="2" customFormat="1" ht="60" customHeight="1">
      <c r="A1" s="5"/>
      <c r="B1" s="6"/>
      <c r="C1" s="6"/>
      <c r="D1" s="6"/>
      <c r="E1" s="6"/>
      <c r="F1" s="6"/>
      <c r="G1" s="6"/>
      <c r="H1" s="7" t="s">
        <v>5</v>
      </c>
      <c r="I1" s="8">
        <v>1995</v>
      </c>
    </row>
    <row r="2" spans="1:9" s="2" customFormat="1" ht="12.95" customHeight="1" thickBot="1">
      <c r="A2" s="5"/>
      <c r="B2" s="6"/>
      <c r="C2" s="6"/>
      <c r="D2" s="6"/>
      <c r="E2" s="6"/>
      <c r="F2" s="6"/>
      <c r="G2" s="6"/>
      <c r="H2" s="9"/>
      <c r="I2" s="9"/>
    </row>
    <row r="3" spans="1:9" s="2" customFormat="1" ht="33" customHeight="1">
      <c r="A3" s="75" t="str">
        <f>"                                            "&amp;"ENTIDADES AUTÓNOMAS COMERCIALES"</f>
        <v xml:space="preserve">                                            ENTIDADES AUTÓNOMAS COMERCIALES</v>
      </c>
      <c r="B3" s="10"/>
      <c r="C3" s="10"/>
      <c r="D3" s="10"/>
      <c r="E3" s="10"/>
      <c r="F3" s="11"/>
      <c r="G3" s="11"/>
      <c r="H3" s="12"/>
      <c r="I3" s="13"/>
    </row>
    <row r="4" spans="1:9" s="2" customFormat="1" ht="20.1" customHeight="1">
      <c r="A4" s="14" t="str">
        <f>"AGREGADO"</f>
        <v>AGREGADO</v>
      </c>
      <c r="B4" s="15"/>
      <c r="C4" s="15"/>
      <c r="D4" s="15"/>
      <c r="E4" s="15"/>
      <c r="F4" s="14"/>
      <c r="G4" s="14"/>
      <c r="H4" s="16"/>
      <c r="I4" s="17"/>
    </row>
    <row r="5" spans="1:9" s="2" customFormat="1" ht="18" customHeight="1" thickBot="1">
      <c r="A5" s="18"/>
      <c r="B5" s="19"/>
      <c r="C5" s="19"/>
      <c r="D5" s="19"/>
      <c r="E5" s="19"/>
      <c r="F5" s="19"/>
      <c r="G5" s="76" t="str">
        <f>"Población a 01/01/"&amp;I1</f>
        <v>Población a 01/01/1995</v>
      </c>
      <c r="H5" s="222">
        <v>3969401</v>
      </c>
      <c r="I5" s="222"/>
    </row>
    <row r="6" spans="1:9" s="2" customFormat="1" ht="15" customHeight="1">
      <c r="A6" s="20"/>
      <c r="B6" s="21"/>
      <c r="C6" s="21"/>
      <c r="D6" s="21"/>
      <c r="E6" s="21"/>
      <c r="F6" s="21"/>
      <c r="G6" s="22"/>
      <c r="H6" s="16"/>
      <c r="I6" s="16"/>
    </row>
    <row r="7" spans="1:9" s="2" customFormat="1" ht="12.95" customHeight="1">
      <c r="A7" s="20"/>
      <c r="B7" s="21"/>
      <c r="C7" s="21"/>
      <c r="D7" s="21"/>
      <c r="E7" s="21"/>
      <c r="F7" s="21"/>
      <c r="G7" s="21"/>
      <c r="H7" s="21"/>
      <c r="I7" s="21"/>
    </row>
    <row r="8" spans="1:9" s="2" customFormat="1" ht="21" customHeight="1">
      <c r="A8" s="23" t="s">
        <v>9</v>
      </c>
      <c r="B8" s="21"/>
      <c r="C8" s="21"/>
      <c r="D8" s="21"/>
      <c r="E8" s="46"/>
      <c r="F8" s="21"/>
      <c r="G8" s="21"/>
      <c r="H8" s="21"/>
      <c r="I8" s="21"/>
    </row>
    <row r="9" spans="1:11" s="2" customFormat="1" ht="18" customHeight="1">
      <c r="A9" s="24"/>
      <c r="B9" s="21"/>
      <c r="C9" s="21"/>
      <c r="D9" s="46"/>
      <c r="E9" s="46"/>
      <c r="F9" s="21"/>
      <c r="G9" s="21"/>
      <c r="H9" s="21"/>
      <c r="I9" s="21"/>
      <c r="J9" s="45"/>
      <c r="K9" s="45"/>
    </row>
    <row r="10" spans="1:11" s="2" customFormat="1" ht="12.95" customHeight="1">
      <c r="A10" s="23"/>
      <c r="B10" s="21"/>
      <c r="C10" s="21"/>
      <c r="D10" s="44">
        <v>21400</v>
      </c>
      <c r="E10" s="44">
        <v>21401</v>
      </c>
      <c r="F10" s="21"/>
      <c r="G10" s="21"/>
      <c r="H10" s="21"/>
      <c r="I10" s="21"/>
      <c r="J10" s="44">
        <v>21400</v>
      </c>
      <c r="K10" s="44">
        <v>21401</v>
      </c>
    </row>
    <row r="11" spans="1:11" ht="18" customHeight="1" thickBot="1">
      <c r="A11" s="25" t="s">
        <v>6</v>
      </c>
      <c r="B11" s="17"/>
      <c r="C11" s="17"/>
      <c r="D11" s="44" t="s">
        <v>437</v>
      </c>
      <c r="E11" s="44" t="s">
        <v>437</v>
      </c>
      <c r="F11" s="21"/>
      <c r="G11" s="17"/>
      <c r="H11" s="3"/>
      <c r="I11" s="26"/>
      <c r="J11" s="44" t="s">
        <v>437</v>
      </c>
      <c r="K11" s="44" t="s">
        <v>437</v>
      </c>
    </row>
    <row r="12" spans="1:11" ht="33" customHeight="1">
      <c r="A12" s="27" t="s">
        <v>7</v>
      </c>
      <c r="B12" s="28">
        <f>I1</f>
        <v>1995</v>
      </c>
      <c r="C12" s="29" t="s">
        <v>8</v>
      </c>
      <c r="D12" s="44" t="s">
        <v>0</v>
      </c>
      <c r="E12" s="44" t="s">
        <v>1</v>
      </c>
      <c r="F12" s="21"/>
      <c r="G12" s="27" t="s">
        <v>110</v>
      </c>
      <c r="H12" s="28">
        <f>I1</f>
        <v>1995</v>
      </c>
      <c r="I12" s="29" t="s">
        <v>8</v>
      </c>
      <c r="J12" s="44" t="s">
        <v>0</v>
      </c>
      <c r="K12" s="44" t="s">
        <v>1</v>
      </c>
    </row>
    <row r="13" spans="1:11" s="34" customFormat="1" ht="18" customHeight="1">
      <c r="A13" s="30" t="s">
        <v>55</v>
      </c>
      <c r="B13" s="200">
        <f aca="true" t="shared" si="0" ref="B13:B36">D13+E13</f>
        <v>13343318.75</v>
      </c>
      <c r="C13" s="32">
        <f>IF((B13/$B$49)=0,"--",B13/$B$49)</f>
        <v>0.7925868479101524</v>
      </c>
      <c r="D13" s="46">
        <f>D14+D16+D20+D24+D26</f>
        <v>6942868.8100000005</v>
      </c>
      <c r="E13" s="46">
        <f>E14+E16+E20+E24+E26</f>
        <v>6400449.9399999995</v>
      </c>
      <c r="F13" s="33"/>
      <c r="G13" s="30" t="s">
        <v>79</v>
      </c>
      <c r="H13" s="200">
        <f aca="true" t="shared" si="1" ref="H13:H33">J13+K13</f>
        <v>7239559.719999999</v>
      </c>
      <c r="I13" s="32">
        <f>IF((H13/$H$49)=0,"",(H13/$H$49))</f>
        <v>0.43002643691863424</v>
      </c>
      <c r="J13" s="45">
        <f>J14+J21+J22+J23</f>
        <v>4366007.6</v>
      </c>
      <c r="K13" s="45">
        <f>K14+K21+K22+K23</f>
        <v>2873552.1199999996</v>
      </c>
    </row>
    <row r="14" spans="1:11" s="34" customFormat="1" ht="18" customHeight="1">
      <c r="A14" s="63" t="s">
        <v>56</v>
      </c>
      <c r="B14" s="201">
        <f t="shared" si="0"/>
        <v>0</v>
      </c>
      <c r="C14" s="36" t="str">
        <f>IF((B14/$B$49)=0,"--",B14/$B$49)</f>
        <v>--</v>
      </c>
      <c r="D14" s="46" t="str">
        <f>'[1]1120'!$D9</f>
        <v>0,00</v>
      </c>
      <c r="E14" s="46" t="str">
        <f>'[2]1120'!$D9</f>
        <v>0,00</v>
      </c>
      <c r="F14" s="33"/>
      <c r="G14" s="4" t="s">
        <v>80</v>
      </c>
      <c r="H14" s="201">
        <f t="shared" si="1"/>
        <v>11093674.74</v>
      </c>
      <c r="I14" s="36">
        <f aca="true" t="shared" si="2" ref="I14:I33">IF((H14/$H$49)=0,"--",H14/$H$49)</f>
        <v>0.6589590534901282</v>
      </c>
      <c r="J14" s="45">
        <f>J15+J16+J17+J18+J19+J20</f>
        <v>7950000.38</v>
      </c>
      <c r="K14" s="45">
        <f>K15+K16+K17+K18+K19+K20</f>
        <v>3143674.36</v>
      </c>
    </row>
    <row r="15" spans="1:11" s="34" customFormat="1" ht="18" customHeight="1">
      <c r="A15" s="33"/>
      <c r="B15" s="202"/>
      <c r="C15" s="37"/>
      <c r="D15" s="46"/>
      <c r="E15" s="46"/>
      <c r="F15" s="33"/>
      <c r="G15" s="33" t="s">
        <v>81</v>
      </c>
      <c r="H15" s="202">
        <f t="shared" si="1"/>
        <v>7950000.38</v>
      </c>
      <c r="I15" s="37">
        <f t="shared" si="2"/>
        <v>0.4722262774445611</v>
      </c>
      <c r="J15" s="45" t="str">
        <f>'[1]1120'!$L$4</f>
        <v>7.950.000,38</v>
      </c>
      <c r="K15" s="45" t="str">
        <f>'[2]1120'!$L$4</f>
        <v>0,00</v>
      </c>
    </row>
    <row r="16" spans="1:11" s="34" customFormat="1" ht="18" customHeight="1">
      <c r="A16" s="63" t="s">
        <v>57</v>
      </c>
      <c r="B16" s="201">
        <f t="shared" si="0"/>
        <v>58224.95</v>
      </c>
      <c r="C16" s="36">
        <f>IF((B16/$B$49)=0,"--",B16/$B$49)</f>
        <v>0.0034585346010883706</v>
      </c>
      <c r="D16" s="46" t="str">
        <f>'[1]1120'!$D13</f>
        <v>28.616,48</v>
      </c>
      <c r="E16" s="46" t="str">
        <f>'[2]1120'!$D13</f>
        <v>29.608,47</v>
      </c>
      <c r="F16" s="33"/>
      <c r="G16" s="33" t="s">
        <v>82</v>
      </c>
      <c r="H16" s="202">
        <f t="shared" si="1"/>
        <v>0</v>
      </c>
      <c r="I16" s="37" t="str">
        <f t="shared" si="2"/>
        <v>--</v>
      </c>
      <c r="J16" s="45"/>
      <c r="K16" s="45"/>
    </row>
    <row r="17" spans="1:11" s="34" customFormat="1" ht="18" customHeight="1">
      <c r="A17" s="33" t="s">
        <v>441</v>
      </c>
      <c r="B17" s="202">
        <f t="shared" si="0"/>
        <v>134655.28999999998</v>
      </c>
      <c r="C17" s="37">
        <f>IF((B17/$B$49)=0,"--",B17/$B$49)</f>
        <v>0.007998460791887135</v>
      </c>
      <c r="D17" s="46" t="str">
        <f>'[1]1120'!$D14</f>
        <v>101.523,93</v>
      </c>
      <c r="E17" s="46" t="str">
        <f>'[2]1120'!$D14</f>
        <v>33.131,36</v>
      </c>
      <c r="F17" s="33"/>
      <c r="G17" s="33" t="s">
        <v>83</v>
      </c>
      <c r="H17" s="202">
        <f t="shared" si="1"/>
        <v>3143674.36</v>
      </c>
      <c r="I17" s="37">
        <f t="shared" si="2"/>
        <v>0.18673277604556704</v>
      </c>
      <c r="J17" s="45" t="str">
        <f>'[1]1120'!$L$5</f>
        <v>0,00</v>
      </c>
      <c r="K17" s="45" t="str">
        <f>'[2]1120'!$L$5</f>
        <v>3.143.674,36</v>
      </c>
    </row>
    <row r="18" spans="1:11" s="34" customFormat="1" ht="18" customHeight="1">
      <c r="A18" s="33" t="s">
        <v>440</v>
      </c>
      <c r="B18" s="202">
        <f t="shared" si="0"/>
        <v>-76430.34</v>
      </c>
      <c r="C18" s="37">
        <f>IF((B18/$B$49)=0,"--",B18/$B$49)</f>
        <v>-0.0045399261907987645</v>
      </c>
      <c r="D18" s="46" t="str">
        <f>'[1]1120'!$D15</f>
        <v>-72.907,45</v>
      </c>
      <c r="E18" s="46" t="str">
        <f>'[2]1120'!$D15</f>
        <v>-3.522,89</v>
      </c>
      <c r="F18" s="33"/>
      <c r="G18" s="33" t="s">
        <v>84</v>
      </c>
      <c r="H18" s="202">
        <f t="shared" si="1"/>
        <v>0</v>
      </c>
      <c r="I18" s="37" t="str">
        <f t="shared" si="2"/>
        <v>--</v>
      </c>
      <c r="J18" s="45"/>
      <c r="K18" s="45"/>
    </row>
    <row r="19" spans="1:11" s="34" customFormat="1" ht="18" customHeight="1">
      <c r="A19" s="33"/>
      <c r="B19" s="202"/>
      <c r="C19" s="37"/>
      <c r="D19" s="46"/>
      <c r="E19" s="46"/>
      <c r="F19" s="33"/>
      <c r="G19" s="33" t="s">
        <v>85</v>
      </c>
      <c r="H19" s="202">
        <f t="shared" si="1"/>
        <v>0</v>
      </c>
      <c r="I19" s="37" t="str">
        <f t="shared" si="2"/>
        <v>--</v>
      </c>
      <c r="J19" s="45"/>
      <c r="K19" s="45"/>
    </row>
    <row r="20" spans="1:11" s="34" customFormat="1" ht="18" customHeight="1">
      <c r="A20" s="63" t="s">
        <v>58</v>
      </c>
      <c r="B20" s="201">
        <f t="shared" si="0"/>
        <v>13285093.8</v>
      </c>
      <c r="C20" s="36">
        <f>IF((B20/$B$49)=0,"--",B20/$B$49)</f>
        <v>0.7891283133090641</v>
      </c>
      <c r="D20" s="46" t="str">
        <f>'[1]1120'!$D4</f>
        <v>6.914.252,33</v>
      </c>
      <c r="E20" s="46" t="str">
        <f>'[2]1120'!$D4</f>
        <v>6.370.841,47</v>
      </c>
      <c r="F20" s="33"/>
      <c r="G20" s="33" t="s">
        <v>86</v>
      </c>
      <c r="H20" s="202">
        <f t="shared" si="1"/>
        <v>0</v>
      </c>
      <c r="I20" s="37" t="str">
        <f t="shared" si="2"/>
        <v>--</v>
      </c>
      <c r="J20" s="45"/>
      <c r="K20" s="45"/>
    </row>
    <row r="21" spans="1:11" s="34" customFormat="1" ht="18" customHeight="1">
      <c r="A21" s="33" t="s">
        <v>439</v>
      </c>
      <c r="B21" s="202">
        <f t="shared" si="0"/>
        <v>18070708.37</v>
      </c>
      <c r="C21" s="37">
        <f>IF((B21/$B$49)=0,"--",B21/$B$49)</f>
        <v>1.0733915643349154</v>
      </c>
      <c r="D21" s="46">
        <f>'[1]1120'!$D5+'[1]1120'!$D7+'[1]1120'!$D8</f>
        <v>8343121.99</v>
      </c>
      <c r="E21" s="46">
        <f>'[2]1120'!$D5+'[2]1120'!$D7+'[2]1120'!$D8</f>
        <v>9727586.38</v>
      </c>
      <c r="F21" s="33"/>
      <c r="G21" s="4" t="s">
        <v>87</v>
      </c>
      <c r="H21" s="201">
        <f t="shared" si="1"/>
        <v>0</v>
      </c>
      <c r="I21" s="36" t="str">
        <f t="shared" si="2"/>
        <v>--</v>
      </c>
      <c r="J21" s="45" t="str">
        <f>'[1]1120'!$L$7</f>
        <v>0,00</v>
      </c>
      <c r="K21" s="45" t="str">
        <f>'[2]1120'!$L$7</f>
        <v>0,00</v>
      </c>
    </row>
    <row r="22" spans="1:11" s="34" customFormat="1" ht="18" customHeight="1">
      <c r="A22" s="33" t="s">
        <v>440</v>
      </c>
      <c r="B22" s="202">
        <f t="shared" si="0"/>
        <v>-4785614.5600000005</v>
      </c>
      <c r="C22" s="37">
        <f>IF((B22/$B$49)=0,"--",B22/$B$49)</f>
        <v>-0.28426325043185613</v>
      </c>
      <c r="D22" s="46" t="str">
        <f>'[1]1120'!$D6</f>
        <v>-1.428.869,65</v>
      </c>
      <c r="E22" s="46" t="str">
        <f>'[2]1120'!$D6</f>
        <v>-3.356.744,91</v>
      </c>
      <c r="F22" s="33"/>
      <c r="G22" s="4" t="s">
        <v>88</v>
      </c>
      <c r="H22" s="201">
        <f t="shared" si="1"/>
        <v>-331159.29</v>
      </c>
      <c r="I22" s="36">
        <f t="shared" si="2"/>
        <v>-0.019670705821762974</v>
      </c>
      <c r="J22" s="45" t="str">
        <f>'[1]1120'!$L$8</f>
        <v>0,00</v>
      </c>
      <c r="K22" s="45" t="str">
        <f>'[2]1120'!$L$8</f>
        <v>-331.159,29</v>
      </c>
    </row>
    <row r="23" spans="1:11" s="34" customFormat="1" ht="18" customHeight="1">
      <c r="A23" s="33"/>
      <c r="B23" s="202"/>
      <c r="C23" s="37"/>
      <c r="D23" s="46"/>
      <c r="E23" s="46"/>
      <c r="F23" s="33"/>
      <c r="G23" s="4" t="s">
        <v>89</v>
      </c>
      <c r="H23" s="201">
        <f t="shared" si="1"/>
        <v>-3522955.73</v>
      </c>
      <c r="I23" s="36">
        <f t="shared" si="2"/>
        <v>-0.20926191074973083</v>
      </c>
      <c r="J23" s="45">
        <f>IF('[1]1120'!$R$44&gt;0,-'[1]1120'!$D$44,'[1]1120'!$L$30)</f>
        <v>-3583992.78</v>
      </c>
      <c r="K23" s="45" t="str">
        <f>IF('[2]1120'!$R$44&gt;0,-'[2]1120'!$D$44,'[2]1120'!$L$30)</f>
        <v>61.037,05</v>
      </c>
    </row>
    <row r="24" spans="1:11" s="34" customFormat="1" ht="18" customHeight="1">
      <c r="A24" s="63" t="s">
        <v>59</v>
      </c>
      <c r="B24" s="201">
        <f t="shared" si="0"/>
        <v>0</v>
      </c>
      <c r="C24" s="36" t="str">
        <f>IF((B24/$B$49)=0,"--",B24/$B$49)</f>
        <v>--</v>
      </c>
      <c r="D24" s="46"/>
      <c r="E24" s="46"/>
      <c r="F24" s="33"/>
      <c r="G24" s="30" t="s">
        <v>3</v>
      </c>
      <c r="H24" s="200">
        <f t="shared" si="1"/>
        <v>4551738.95</v>
      </c>
      <c r="I24" s="32">
        <f t="shared" si="2"/>
        <v>0.27037114937319223</v>
      </c>
      <c r="J24" s="45" t="str">
        <f>'[1]1120'!$L$9</f>
        <v>0,00</v>
      </c>
      <c r="K24" s="45" t="str">
        <f>'[2]1120'!$L$9</f>
        <v>4.551.738,95</v>
      </c>
    </row>
    <row r="25" spans="1:11" s="34" customFormat="1" ht="18" customHeight="1">
      <c r="A25" s="63"/>
      <c r="B25" s="201"/>
      <c r="C25" s="36"/>
      <c r="D25" s="46"/>
      <c r="E25" s="46"/>
      <c r="F25" s="33"/>
      <c r="G25" s="30" t="s">
        <v>4</v>
      </c>
      <c r="H25" s="200">
        <f t="shared" si="1"/>
        <v>0</v>
      </c>
      <c r="I25" s="32" t="str">
        <f t="shared" si="2"/>
        <v>--</v>
      </c>
      <c r="J25" s="45"/>
      <c r="K25" s="45"/>
    </row>
    <row r="26" spans="1:11" s="34" customFormat="1" ht="18" customHeight="1">
      <c r="A26" s="63" t="s">
        <v>60</v>
      </c>
      <c r="B26" s="201">
        <f t="shared" si="0"/>
        <v>0</v>
      </c>
      <c r="C26" s="36" t="str">
        <f>IF((B26/$B$49)=0,"--",B26/$B$49)</f>
        <v>--</v>
      </c>
      <c r="D26" s="46">
        <f>'[1]1120'!$D$17+'[1]1120'!$D$18+'[1]1120'!$D$19+'[1]1120'!$D$20+'[1]1120'!$D$21</f>
        <v>0</v>
      </c>
      <c r="E26" s="46">
        <f>'[2]1120'!$D$17+'[2]1120'!$D$18+'[2]1120'!$D$19+'[2]1120'!$D$20+'[2]1120'!$D$21</f>
        <v>0</v>
      </c>
      <c r="F26" s="33"/>
      <c r="G26" s="30" t="s">
        <v>90</v>
      </c>
      <c r="H26" s="200">
        <f t="shared" si="1"/>
        <v>0</v>
      </c>
      <c r="I26" s="32" t="str">
        <f t="shared" si="2"/>
        <v>--</v>
      </c>
      <c r="J26" s="45">
        <f>J27+J28+J33</f>
        <v>0</v>
      </c>
      <c r="K26" s="45">
        <f>K27+K28+K33</f>
        <v>0</v>
      </c>
    </row>
    <row r="27" spans="1:11" s="34" customFormat="1" ht="18" customHeight="1">
      <c r="A27" s="33" t="s">
        <v>61</v>
      </c>
      <c r="B27" s="202">
        <f t="shared" si="0"/>
        <v>0</v>
      </c>
      <c r="C27" s="37" t="str">
        <f>IF((B27/$B$49)=0,"--",B27/$B$49)</f>
        <v>--</v>
      </c>
      <c r="D27" s="46">
        <f>'[1]1120'!$D$17+'[1]1120'!$D$18</f>
        <v>0</v>
      </c>
      <c r="E27" s="46">
        <f>'[2]1120'!$D$17+'[2]1120'!$D$18</f>
        <v>0</v>
      </c>
      <c r="F27" s="33"/>
      <c r="G27" s="4" t="s">
        <v>91</v>
      </c>
      <c r="H27" s="201">
        <f t="shared" si="1"/>
        <v>0</v>
      </c>
      <c r="I27" s="36" t="str">
        <f t="shared" si="2"/>
        <v>--</v>
      </c>
      <c r="J27" s="45" t="str">
        <f>'[1]1120'!$L$11</f>
        <v>0,00</v>
      </c>
      <c r="K27" s="45" t="str">
        <f>'[2]1120'!$L$11</f>
        <v>0,00</v>
      </c>
    </row>
    <row r="28" spans="1:11" s="34" customFormat="1" ht="18" customHeight="1">
      <c r="A28" s="33" t="s">
        <v>62</v>
      </c>
      <c r="B28" s="202">
        <f t="shared" si="0"/>
        <v>0</v>
      </c>
      <c r="C28" s="37" t="str">
        <f>IF((B28/$B$49)=0,"--",B28/$B$49)</f>
        <v>--</v>
      </c>
      <c r="D28" s="46" t="str">
        <f>'[1]1120'!$D$19</f>
        <v>0,00</v>
      </c>
      <c r="E28" s="46" t="str">
        <f>'[2]1120'!$D$19</f>
        <v>0,00</v>
      </c>
      <c r="F28" s="33"/>
      <c r="G28" s="4" t="s">
        <v>92</v>
      </c>
      <c r="H28" s="201">
        <f t="shared" si="1"/>
        <v>0</v>
      </c>
      <c r="I28" s="36" t="str">
        <f t="shared" si="2"/>
        <v>--</v>
      </c>
      <c r="J28" s="45">
        <f>'[1]1120'!$L$12+'[1]1120'!$L$13</f>
        <v>0</v>
      </c>
      <c r="K28" s="45">
        <f>'[2]1120'!$L$12+'[2]1120'!$L$13</f>
        <v>0</v>
      </c>
    </row>
    <row r="29" spans="1:11" s="34" customFormat="1" ht="18" customHeight="1">
      <c r="A29" s="33" t="s">
        <v>63</v>
      </c>
      <c r="B29" s="202">
        <f t="shared" si="0"/>
        <v>0</v>
      </c>
      <c r="C29" s="37" t="str">
        <f>IF((B29/$B$49)=0,"--",B29/$B$49)</f>
        <v>--</v>
      </c>
      <c r="D29" s="46" t="str">
        <f>'[1]1120'!$D$21</f>
        <v>0,00</v>
      </c>
      <c r="E29" s="46" t="str">
        <f>'[2]1120'!$D$21</f>
        <v>0,00</v>
      </c>
      <c r="F29" s="33"/>
      <c r="G29" s="1" t="s">
        <v>93</v>
      </c>
      <c r="H29" s="202">
        <f t="shared" si="1"/>
        <v>0</v>
      </c>
      <c r="I29" s="37" t="str">
        <f t="shared" si="2"/>
        <v>--</v>
      </c>
      <c r="J29" s="45" t="str">
        <f>'[1]1120'!$L$12</f>
        <v>0,00</v>
      </c>
      <c r="K29" s="45" t="str">
        <f>'[2]1120'!$L$12</f>
        <v>0,00</v>
      </c>
    </row>
    <row r="30" spans="1:11" s="34" customFormat="1" ht="18" customHeight="1">
      <c r="A30" s="33" t="s">
        <v>64</v>
      </c>
      <c r="B30" s="202">
        <f t="shared" si="0"/>
        <v>0</v>
      </c>
      <c r="C30" s="37" t="str">
        <f>IF((B30/$B$49)=0,"--",B30/$B$49)</f>
        <v>--</v>
      </c>
      <c r="D30" s="46" t="str">
        <f>'[1]1120'!$D$20</f>
        <v>0,00</v>
      </c>
      <c r="E30" s="46" t="str">
        <f>'[2]1120'!$D$20</f>
        <v>0,00</v>
      </c>
      <c r="F30" s="33"/>
      <c r="G30" s="1" t="s">
        <v>94</v>
      </c>
      <c r="H30" s="202">
        <f t="shared" si="1"/>
        <v>0</v>
      </c>
      <c r="I30" s="37" t="str">
        <f t="shared" si="2"/>
        <v>--</v>
      </c>
      <c r="J30" s="45"/>
      <c r="K30" s="45"/>
    </row>
    <row r="31" spans="1:11" s="34" customFormat="1" ht="18" customHeight="1">
      <c r="A31" s="33"/>
      <c r="B31" s="202"/>
      <c r="C31" s="37"/>
      <c r="D31" s="46"/>
      <c r="E31" s="46"/>
      <c r="F31" s="33"/>
      <c r="G31" s="1" t="s">
        <v>95</v>
      </c>
      <c r="H31" s="202">
        <f t="shared" si="1"/>
        <v>0</v>
      </c>
      <c r="I31" s="37" t="str">
        <f t="shared" si="2"/>
        <v>--</v>
      </c>
      <c r="J31" s="45"/>
      <c r="K31" s="45"/>
    </row>
    <row r="32" spans="1:11" s="34" customFormat="1" ht="18" customHeight="1">
      <c r="A32" s="30" t="s">
        <v>2</v>
      </c>
      <c r="B32" s="200">
        <f t="shared" si="0"/>
        <v>0</v>
      </c>
      <c r="C32" s="32" t="str">
        <f>IF((B32/$B$49)=0,"--",B32/$B$49)</f>
        <v>--</v>
      </c>
      <c r="D32" s="46">
        <f>'[1]1120'!$D$22+'[1]1120'!$D$23</f>
        <v>0</v>
      </c>
      <c r="E32" s="46">
        <f>'[2]1120'!$D$22+'[2]1120'!$D$23</f>
        <v>0</v>
      </c>
      <c r="F32" s="33"/>
      <c r="G32" s="1" t="s">
        <v>96</v>
      </c>
      <c r="H32" s="202">
        <f t="shared" si="1"/>
        <v>0</v>
      </c>
      <c r="I32" s="37" t="str">
        <f t="shared" si="2"/>
        <v>--</v>
      </c>
      <c r="J32" s="45" t="str">
        <f>'[1]1120'!$L$13</f>
        <v>0,00</v>
      </c>
      <c r="K32" s="45" t="str">
        <f>'[2]1120'!$L$13</f>
        <v>0,00</v>
      </c>
    </row>
    <row r="33" spans="1:11" s="34" customFormat="1" ht="18" customHeight="1">
      <c r="A33" s="46"/>
      <c r="B33" s="46"/>
      <c r="C33" s="46"/>
      <c r="D33" s="46"/>
      <c r="E33" s="46"/>
      <c r="F33" s="33"/>
      <c r="G33" s="4" t="s">
        <v>97</v>
      </c>
      <c r="H33" s="201">
        <f t="shared" si="1"/>
        <v>0</v>
      </c>
      <c r="I33" s="36" t="str">
        <f t="shared" si="2"/>
        <v>--</v>
      </c>
      <c r="J33" s="45"/>
      <c r="K33" s="45"/>
    </row>
    <row r="34" spans="1:11" s="34" customFormat="1" ht="18" customHeight="1">
      <c r="A34" s="219"/>
      <c r="B34" s="215"/>
      <c r="C34" s="220"/>
      <c r="D34" s="46"/>
      <c r="E34" s="46"/>
      <c r="F34" s="33"/>
      <c r="G34" s="4"/>
      <c r="H34" s="201"/>
      <c r="I34" s="36"/>
      <c r="J34" s="45"/>
      <c r="K34" s="45"/>
    </row>
    <row r="35" spans="1:11" s="34" customFormat="1" ht="18" customHeight="1">
      <c r="A35" s="30" t="s">
        <v>65</v>
      </c>
      <c r="B35" s="200">
        <f t="shared" si="0"/>
        <v>3491831.6</v>
      </c>
      <c r="C35" s="32">
        <f aca="true" t="shared" si="3" ref="C35:C49">IF((B35/$B$49)=0,"--",B35/$B$49)</f>
        <v>0.20741315208984754</v>
      </c>
      <c r="D35" s="46">
        <f>D36+D37+D42+D47+D48</f>
        <v>1952208.08</v>
      </c>
      <c r="E35" s="46">
        <f>E36+E37+E42+E47+E48</f>
        <v>1539623.52</v>
      </c>
      <c r="F35" s="33"/>
      <c r="G35" s="30" t="s">
        <v>98</v>
      </c>
      <c r="H35" s="200">
        <f aca="true" t="shared" si="4" ref="H35:H47">J35+K35</f>
        <v>5043851.68</v>
      </c>
      <c r="I35" s="32">
        <f aca="true" t="shared" si="5" ref="I35:I47">IF((H35/$H$49)=0,"--",H35/$H$49)</f>
        <v>0.29960241370817337</v>
      </c>
      <c r="J35" s="45">
        <f>J36+J37+J38+J45</f>
        <v>4529069.29</v>
      </c>
      <c r="K35" s="45">
        <f>K36+K37+K38+K45</f>
        <v>514782.39</v>
      </c>
    </row>
    <row r="36" spans="1:11" s="34" customFormat="1" ht="18" customHeight="1">
      <c r="A36" s="63" t="s">
        <v>66</v>
      </c>
      <c r="B36" s="201">
        <f t="shared" si="0"/>
        <v>41626.130000000005</v>
      </c>
      <c r="C36" s="36">
        <f t="shared" si="3"/>
        <v>0.0024725725125466433</v>
      </c>
      <c r="D36" s="46" t="str">
        <f>'[1]1120'!$D$24</f>
        <v>34.191,58</v>
      </c>
      <c r="E36" s="46" t="str">
        <f>'[2]1120'!$D$24</f>
        <v>7.434,55</v>
      </c>
      <c r="F36" s="33"/>
      <c r="G36" s="4" t="s">
        <v>91</v>
      </c>
      <c r="H36" s="201">
        <f t="shared" si="4"/>
        <v>0</v>
      </c>
      <c r="I36" s="36" t="str">
        <f t="shared" si="5"/>
        <v>--</v>
      </c>
      <c r="J36" s="45" t="str">
        <f>'[1]1120'!$L$15</f>
        <v>0,00</v>
      </c>
      <c r="K36" s="45" t="str">
        <f>'[2]1120'!$L$15</f>
        <v>0,00</v>
      </c>
    </row>
    <row r="37" spans="1:11" s="34" customFormat="1" ht="18" customHeight="1">
      <c r="A37" s="63" t="s">
        <v>67</v>
      </c>
      <c r="B37" s="201">
        <f aca="true" t="shared" si="6" ref="B37:B49">D37+E37</f>
        <v>2223077.45</v>
      </c>
      <c r="C37" s="36">
        <f t="shared" si="3"/>
        <v>0.13204975327113724</v>
      </c>
      <c r="D37" s="46">
        <f>'[1]1120'!$D$30+'[1]1120'!$D$31+'[1]1120'!$D$32+'[1]1120'!$D$33</f>
        <v>1112192.65</v>
      </c>
      <c r="E37" s="46">
        <f>'[2]1120'!$D$30+'[2]1120'!$D$31+'[2]1120'!$D$32+'[2]1120'!$D$33</f>
        <v>1110884.8</v>
      </c>
      <c r="F37" s="33"/>
      <c r="G37" s="4" t="s">
        <v>99</v>
      </c>
      <c r="H37" s="201">
        <f t="shared" si="4"/>
        <v>0</v>
      </c>
      <c r="I37" s="36" t="str">
        <f t="shared" si="5"/>
        <v>--</v>
      </c>
      <c r="J37" s="45"/>
      <c r="K37" s="45"/>
    </row>
    <row r="38" spans="1:11" s="34" customFormat="1" ht="18" customHeight="1">
      <c r="A38" s="33" t="s">
        <v>68</v>
      </c>
      <c r="B38" s="202">
        <f t="shared" si="6"/>
        <v>2142097.7600000002</v>
      </c>
      <c r="C38" s="37">
        <f t="shared" si="3"/>
        <v>0.12723959783346991</v>
      </c>
      <c r="D38" s="46" t="str">
        <f>'[1]1120'!$D$30</f>
        <v>1.032.614,39</v>
      </c>
      <c r="E38" s="46" t="str">
        <f>'[2]1120'!$D$30</f>
        <v>1.109.483,37</v>
      </c>
      <c r="F38" s="33"/>
      <c r="G38" s="4" t="s">
        <v>100</v>
      </c>
      <c r="H38" s="201">
        <f t="shared" si="4"/>
        <v>5043851.68</v>
      </c>
      <c r="I38" s="36">
        <f t="shared" si="5"/>
        <v>0.29960241370817337</v>
      </c>
      <c r="J38" s="45">
        <f>'[1]1120'!$L$16+'[1]1120'!$L$17+'[1]1120'!$L$18+'[1]1120'!$L$19+'[1]1120'!$L$20+'[1]1120'!$L$21+'[1]1120'!$L$22+'[1]1120'!$L$23+'[1]1120'!$L$24+'[1]1120'!$L$25+'[1]1120'!$L$29</f>
        <v>4529069.29</v>
      </c>
      <c r="K38" s="45">
        <f>'[2]1120'!$L$16+'[2]1120'!$L$17+'[2]1120'!$L$18+'[2]1120'!$L$19+'[2]1120'!$L$20+'[2]1120'!$L$21+'[2]1120'!$L$22+'[2]1120'!$L$23+'[2]1120'!$L$24+'[2]1120'!$L$25+'[2]1120'!$L$29</f>
        <v>514782.39</v>
      </c>
    </row>
    <row r="39" spans="1:11" s="34" customFormat="1" ht="18" customHeight="1">
      <c r="A39" s="33" t="s">
        <v>69</v>
      </c>
      <c r="B39" s="202">
        <f t="shared" si="6"/>
        <v>80979.68999999999</v>
      </c>
      <c r="C39" s="37">
        <f t="shared" si="3"/>
        <v>0.0048101554376673555</v>
      </c>
      <c r="D39" s="46" t="str">
        <f>'[1]1120'!$D$31</f>
        <v>79.578,26</v>
      </c>
      <c r="E39" s="46" t="str">
        <f>'[2]1120'!$D$31</f>
        <v>1.401,43</v>
      </c>
      <c r="F39" s="33"/>
      <c r="G39" s="1" t="s">
        <v>101</v>
      </c>
      <c r="H39" s="202">
        <f t="shared" si="4"/>
        <v>2264857.19</v>
      </c>
      <c r="I39" s="37">
        <f t="shared" si="5"/>
        <v>0.13453145014532047</v>
      </c>
      <c r="J39" s="45">
        <f>'[1]1120'!$L$16+'[1]1120'!$L$17</f>
        <v>2084991.69</v>
      </c>
      <c r="K39" s="45">
        <f>'[2]1120'!$L$16+'[2]1120'!$L$17</f>
        <v>179865.5</v>
      </c>
    </row>
    <row r="40" spans="1:11" s="34" customFormat="1" ht="18" customHeight="1">
      <c r="A40" s="33" t="s">
        <v>70</v>
      </c>
      <c r="B40" s="202">
        <f t="shared" si="6"/>
        <v>0</v>
      </c>
      <c r="C40" s="37" t="str">
        <f t="shared" si="3"/>
        <v>--</v>
      </c>
      <c r="D40" s="46" t="str">
        <f>'[1]1120'!$D$32</f>
        <v>0,00</v>
      </c>
      <c r="E40" s="46" t="str">
        <f>'[2]1120'!$D$32</f>
        <v>0,00</v>
      </c>
      <c r="F40" s="33"/>
      <c r="G40" s="1" t="s">
        <v>102</v>
      </c>
      <c r="H40" s="202">
        <f t="shared" si="4"/>
        <v>974715.4500000001</v>
      </c>
      <c r="I40" s="37">
        <f t="shared" si="5"/>
        <v>0.05789763855598712</v>
      </c>
      <c r="J40" s="45" t="str">
        <f>'[1]1120'!$L$22</f>
        <v>930.539,17</v>
      </c>
      <c r="K40" s="45" t="str">
        <f>'[2]1120'!$L$22</f>
        <v>44.176,28</v>
      </c>
    </row>
    <row r="41" spans="1:11" s="34" customFormat="1" ht="18" customHeight="1">
      <c r="A41" s="33" t="s">
        <v>71</v>
      </c>
      <c r="B41" s="202">
        <f t="shared" si="6"/>
        <v>0</v>
      </c>
      <c r="C41" s="37" t="str">
        <f t="shared" si="3"/>
        <v>--</v>
      </c>
      <c r="D41" s="46" t="str">
        <f>'[1]1120'!$D$33</f>
        <v>0,00</v>
      </c>
      <c r="E41" s="46" t="str">
        <f>'[2]1120'!$D$33</f>
        <v>0,00</v>
      </c>
      <c r="F41" s="33"/>
      <c r="G41" s="1" t="s">
        <v>103</v>
      </c>
      <c r="H41" s="202">
        <f t="shared" si="4"/>
        <v>0</v>
      </c>
      <c r="I41" s="37" t="str">
        <f t="shared" si="5"/>
        <v>--</v>
      </c>
      <c r="J41" s="45" t="str">
        <f>'[1]1120'!$L$18</f>
        <v>0,00</v>
      </c>
      <c r="K41" s="45" t="str">
        <f>'[2]1120'!$L$18</f>
        <v>0,00</v>
      </c>
    </row>
    <row r="42" spans="1:11" s="34" customFormat="1" ht="18" customHeight="1">
      <c r="A42" s="63" t="s">
        <v>72</v>
      </c>
      <c r="B42" s="202">
        <f t="shared" si="6"/>
        <v>0</v>
      </c>
      <c r="C42" s="36" t="str">
        <f t="shared" si="3"/>
        <v>--</v>
      </c>
      <c r="D42" s="46">
        <f>'[1]1120'!$D$35+'[1]1120'!$D$36+'[1]1120'!$D$37+'[1]1120'!$D$38</f>
        <v>0</v>
      </c>
      <c r="E42" s="46">
        <f>'[2]1120'!$D$35+'[2]1120'!$D$36+'[2]1120'!$D$37+'[2]1120'!$D$38</f>
        <v>0</v>
      </c>
      <c r="F42" s="33"/>
      <c r="G42" s="1" t="s">
        <v>71</v>
      </c>
      <c r="H42" s="202">
        <f t="shared" si="4"/>
        <v>418054.61</v>
      </c>
      <c r="I42" s="37">
        <f t="shared" si="5"/>
        <v>0.024832246894664647</v>
      </c>
      <c r="J42" s="45" t="str">
        <f>'[1]1120'!$L$23</f>
        <v>238.878,13</v>
      </c>
      <c r="K42" s="45" t="str">
        <f>'[2]1120'!$L$23</f>
        <v>179.176,48</v>
      </c>
    </row>
    <row r="43" spans="1:11" s="34" customFormat="1" ht="18" customHeight="1">
      <c r="A43" s="33" t="s">
        <v>73</v>
      </c>
      <c r="B43" s="202">
        <f t="shared" si="6"/>
        <v>0</v>
      </c>
      <c r="C43" s="37" t="str">
        <f t="shared" si="3"/>
        <v>--</v>
      </c>
      <c r="D43" s="46"/>
      <c r="E43" s="46"/>
      <c r="F43" s="33"/>
      <c r="G43" s="1" t="s">
        <v>104</v>
      </c>
      <c r="H43" s="202">
        <f t="shared" si="4"/>
        <v>1341042.02</v>
      </c>
      <c r="I43" s="37">
        <f t="shared" si="5"/>
        <v>0.0796572642429653</v>
      </c>
      <c r="J43" s="45">
        <f>'[1]1120'!$L$25+'[1]1120'!$L$29+'[1]1120'!$L$21+'[1]1120'!$L$20+'[1]1120'!$L$19</f>
        <v>1229477.8900000001</v>
      </c>
      <c r="K43" s="45">
        <f>'[2]1120'!$L$25+'[2]1120'!$L$29+'[2]1120'!$L$21+'[2]1120'!$L$20+'[2]1120'!$L$19</f>
        <v>111564.13</v>
      </c>
    </row>
    <row r="44" spans="1:11" s="34" customFormat="1" ht="18" customHeight="1">
      <c r="A44" s="33" t="s">
        <v>74</v>
      </c>
      <c r="B44" s="202">
        <f t="shared" si="6"/>
        <v>0</v>
      </c>
      <c r="C44" s="36" t="str">
        <f t="shared" si="3"/>
        <v>--</v>
      </c>
      <c r="D44" s="46">
        <f>'[1]1120'!$D$35+'[1]1120'!$D$36</f>
        <v>0</v>
      </c>
      <c r="E44" s="46">
        <f>'[2]1120'!$D$35+'[2]1120'!$D$36</f>
        <v>0</v>
      </c>
      <c r="F44" s="33"/>
      <c r="G44" s="1" t="s">
        <v>105</v>
      </c>
      <c r="H44" s="202">
        <f t="shared" si="4"/>
        <v>45182.41</v>
      </c>
      <c r="I44" s="37">
        <f t="shared" si="5"/>
        <v>0.002683813869235804</v>
      </c>
      <c r="J44" s="45" t="str">
        <f>'[1]1120'!$L$24</f>
        <v>45.182,41</v>
      </c>
      <c r="K44" s="45" t="str">
        <f>'[2]1120'!$L$24</f>
        <v>0,00</v>
      </c>
    </row>
    <row r="45" spans="1:11" s="34" customFormat="1" ht="18" customHeight="1">
      <c r="A45" s="33" t="s">
        <v>75</v>
      </c>
      <c r="B45" s="202">
        <f t="shared" si="6"/>
        <v>0</v>
      </c>
      <c r="C45" s="37" t="str">
        <f t="shared" si="3"/>
        <v>--</v>
      </c>
      <c r="D45" s="46">
        <f>'[1]1120'!$D$37+'[1]1120'!$D$38</f>
        <v>0</v>
      </c>
      <c r="E45" s="46">
        <f>'[2]1120'!$D$37+'[2]1120'!$D$38</f>
        <v>0</v>
      </c>
      <c r="F45" s="33"/>
      <c r="G45" s="114" t="s">
        <v>106</v>
      </c>
      <c r="H45" s="201">
        <f t="shared" si="4"/>
        <v>0</v>
      </c>
      <c r="I45" s="36" t="str">
        <f t="shared" si="5"/>
        <v>--</v>
      </c>
      <c r="J45" s="45" t="str">
        <f>'[1]1120'!$L$28</f>
        <v>0,00</v>
      </c>
      <c r="K45" s="45" t="str">
        <f>'[2]1120'!$L$28</f>
        <v>0,00</v>
      </c>
    </row>
    <row r="46" spans="1:11" s="34" customFormat="1" ht="18" customHeight="1">
      <c r="A46" s="33" t="s">
        <v>64</v>
      </c>
      <c r="B46" s="202">
        <f t="shared" si="6"/>
        <v>0</v>
      </c>
      <c r="C46" s="37" t="str">
        <f t="shared" si="3"/>
        <v>--</v>
      </c>
      <c r="D46" s="46"/>
      <c r="E46" s="46"/>
      <c r="F46" s="33"/>
      <c r="G46" s="70" t="s">
        <v>107</v>
      </c>
      <c r="H46" s="200">
        <f t="shared" si="4"/>
        <v>0</v>
      </c>
      <c r="I46" s="32" t="str">
        <f t="shared" si="5"/>
        <v>--</v>
      </c>
      <c r="J46" s="45"/>
      <c r="K46" s="45"/>
    </row>
    <row r="47" spans="1:11" s="34" customFormat="1" ht="18" customHeight="1">
      <c r="A47" s="63" t="s">
        <v>76</v>
      </c>
      <c r="B47" s="201">
        <f t="shared" si="6"/>
        <v>1227128.02</v>
      </c>
      <c r="C47" s="36">
        <f t="shared" si="3"/>
        <v>0.07289082630616363</v>
      </c>
      <c r="D47" s="46">
        <f>'[1]1120'!$D$39+'[1]1120'!$D$40+'[1]1120'!$D$41</f>
        <v>805823.85</v>
      </c>
      <c r="E47" s="46">
        <f>'[2]1120'!$D$39+'[2]1120'!$D$40+'[2]1120'!$D$41-0.01</f>
        <v>421304.17</v>
      </c>
      <c r="F47" s="33"/>
      <c r="G47" s="115" t="s">
        <v>108</v>
      </c>
      <c r="H47" s="202">
        <f t="shared" si="4"/>
        <v>0</v>
      </c>
      <c r="I47" s="37" t="str">
        <f t="shared" si="5"/>
        <v>--</v>
      </c>
      <c r="J47" s="45"/>
      <c r="K47" s="45"/>
    </row>
    <row r="48" spans="1:11" s="34" customFormat="1" ht="18" customHeight="1">
      <c r="A48" s="63" t="s">
        <v>77</v>
      </c>
      <c r="B48" s="201">
        <f t="shared" si="6"/>
        <v>0</v>
      </c>
      <c r="C48" s="36" t="str">
        <f t="shared" si="3"/>
        <v>--</v>
      </c>
      <c r="D48" s="46">
        <f>'[1]1120'!$D$42+'[1]1120'!$D$43</f>
        <v>0</v>
      </c>
      <c r="E48" s="46">
        <f>'[2]1120'!$D$42+'[2]1120'!$D$43</f>
        <v>0</v>
      </c>
      <c r="F48" s="33"/>
      <c r="G48" s="218"/>
      <c r="H48" s="202"/>
      <c r="I48" s="37"/>
      <c r="J48" s="45"/>
      <c r="K48" s="45"/>
    </row>
    <row r="49" spans="1:11" s="34" customFormat="1" ht="18" customHeight="1" thickBot="1">
      <c r="A49" s="39" t="s">
        <v>78</v>
      </c>
      <c r="B49" s="203">
        <f t="shared" si="6"/>
        <v>16835150.35</v>
      </c>
      <c r="C49" s="41">
        <f t="shared" si="3"/>
        <v>1</v>
      </c>
      <c r="D49" s="46">
        <f>D35+D32+D13</f>
        <v>8895076.89</v>
      </c>
      <c r="E49" s="46">
        <f>E35+E32+E13</f>
        <v>7940073.459999999</v>
      </c>
      <c r="F49" s="33"/>
      <c r="G49" s="39" t="s">
        <v>109</v>
      </c>
      <c r="H49" s="203">
        <f>J49+K49</f>
        <v>16835150.35</v>
      </c>
      <c r="I49" s="41">
        <f>IF((H49/$H$49)=0,"--",H49/$H$49)</f>
        <v>1</v>
      </c>
      <c r="J49" s="45">
        <f>J46+J35+J26+J25+J24+J13</f>
        <v>8895076.89</v>
      </c>
      <c r="K49" s="45">
        <f>K46+K35+K26+K25+K24+K13</f>
        <v>7940073.459999999</v>
      </c>
    </row>
    <row r="50" spans="2:8" s="34" customFormat="1" ht="18" customHeight="1">
      <c r="B50" s="43"/>
      <c r="C50" s="43"/>
      <c r="D50" s="37"/>
      <c r="E50" s="37"/>
      <c r="F50" s="33"/>
      <c r="H50" s="43"/>
    </row>
    <row r="51" spans="2:11" s="34" customFormat="1" ht="18" customHeight="1">
      <c r="B51" s="43"/>
      <c r="C51" s="43"/>
      <c r="D51" s="46"/>
      <c r="E51" s="46"/>
      <c r="F51" s="33"/>
      <c r="H51" s="43"/>
      <c r="J51" s="198"/>
      <c r="K51" s="198"/>
    </row>
    <row r="52" spans="1:8" s="34" customFormat="1" ht="18" customHeight="1">
      <c r="A52" s="63" t="s">
        <v>425</v>
      </c>
      <c r="B52" s="43"/>
      <c r="C52" s="43"/>
      <c r="D52" s="37"/>
      <c r="E52" s="37"/>
      <c r="F52" s="33"/>
      <c r="H52" s="43"/>
    </row>
    <row r="53" spans="1:8" s="34" customFormat="1" ht="18" customHeight="1">
      <c r="A53" s="3"/>
      <c r="B53" s="26"/>
      <c r="C53" s="26"/>
      <c r="D53" s="37"/>
      <c r="E53" s="37"/>
      <c r="F53" s="33"/>
      <c r="H53" s="43"/>
    </row>
    <row r="54" spans="1:8" s="34" customFormat="1" ht="18" customHeight="1">
      <c r="A54" s="3"/>
      <c r="B54" s="26"/>
      <c r="C54" s="26"/>
      <c r="D54" s="37"/>
      <c r="E54" s="37"/>
      <c r="F54" s="33"/>
      <c r="H54" s="43"/>
    </row>
    <row r="55" spans="1:8" s="34" customFormat="1" ht="18" customHeight="1">
      <c r="A55" s="3"/>
      <c r="B55" s="26"/>
      <c r="C55" s="26"/>
      <c r="D55" s="37"/>
      <c r="E55" s="37"/>
      <c r="F55" s="33"/>
      <c r="H55" s="43"/>
    </row>
    <row r="56" spans="1:9" s="34" customFormat="1" ht="18" customHeight="1">
      <c r="A56" s="3"/>
      <c r="B56" s="26"/>
      <c r="C56" s="26"/>
      <c r="D56" s="37"/>
      <c r="E56" s="37"/>
      <c r="F56" s="33"/>
      <c r="G56" s="3"/>
      <c r="H56" s="26"/>
      <c r="I56" s="3"/>
    </row>
    <row r="57" spans="1:9" s="34" customFormat="1" ht="18" customHeight="1">
      <c r="A57" s="3"/>
      <c r="B57" s="26"/>
      <c r="C57" s="26"/>
      <c r="D57" s="37"/>
      <c r="E57" s="37"/>
      <c r="F57" s="33"/>
      <c r="G57" s="3"/>
      <c r="H57" s="26"/>
      <c r="I57" s="3"/>
    </row>
    <row r="58" spans="1:9" s="34" customFormat="1" ht="18" customHeight="1">
      <c r="A58" s="3"/>
      <c r="B58" s="26"/>
      <c r="C58" s="26"/>
      <c r="D58" s="36"/>
      <c r="E58" s="36"/>
      <c r="F58" s="33"/>
      <c r="G58" s="3"/>
      <c r="H58" s="26"/>
      <c r="I58" s="3"/>
    </row>
    <row r="59" spans="1:9" s="34" customFormat="1" ht="18" customHeight="1">
      <c r="A59" s="3"/>
      <c r="B59" s="26"/>
      <c r="C59" s="26"/>
      <c r="D59" s="37"/>
      <c r="E59" s="37"/>
      <c r="F59" s="33"/>
      <c r="G59" s="3"/>
      <c r="H59" s="26"/>
      <c r="I59" s="3"/>
    </row>
    <row r="60" spans="1:9" s="34" customFormat="1" ht="18" customHeight="1">
      <c r="A60" s="3"/>
      <c r="B60" s="26"/>
      <c r="C60" s="26"/>
      <c r="D60" s="37"/>
      <c r="E60" s="37"/>
      <c r="F60" s="33"/>
      <c r="G60" s="3"/>
      <c r="H60" s="26"/>
      <c r="I60" s="3"/>
    </row>
    <row r="61" spans="1:9" s="34" customFormat="1" ht="18" customHeight="1">
      <c r="A61" s="3"/>
      <c r="B61" s="26"/>
      <c r="C61" s="26"/>
      <c r="D61" s="37"/>
      <c r="E61" s="37"/>
      <c r="F61" s="33"/>
      <c r="G61" s="3"/>
      <c r="H61" s="26"/>
      <c r="I61" s="3"/>
    </row>
    <row r="62" spans="1:9" s="34" customFormat="1" ht="18" customHeight="1">
      <c r="A62" s="3"/>
      <c r="B62" s="26"/>
      <c r="C62" s="26"/>
      <c r="D62" s="37"/>
      <c r="E62" s="37"/>
      <c r="F62" s="33"/>
      <c r="G62" s="3"/>
      <c r="H62" s="26"/>
      <c r="I62" s="3"/>
    </row>
    <row r="63" spans="1:9" s="34" customFormat="1" ht="18" customHeight="1">
      <c r="A63" s="3"/>
      <c r="B63" s="26"/>
      <c r="C63" s="26"/>
      <c r="D63" s="37"/>
      <c r="E63" s="37"/>
      <c r="F63" s="33"/>
      <c r="G63" s="3"/>
      <c r="H63" s="26"/>
      <c r="I63" s="3"/>
    </row>
    <row r="64" spans="1:9" s="34" customFormat="1" ht="18" customHeight="1">
      <c r="A64" s="3"/>
      <c r="B64" s="26"/>
      <c r="C64" s="26"/>
      <c r="D64" s="37"/>
      <c r="E64" s="37"/>
      <c r="F64" s="33"/>
      <c r="G64" s="3"/>
      <c r="H64" s="26"/>
      <c r="I64" s="3"/>
    </row>
    <row r="65" spans="1:9" s="34" customFormat="1" ht="18" customHeight="1">
      <c r="A65" s="3"/>
      <c r="B65" s="26"/>
      <c r="C65" s="26"/>
      <c r="D65" s="36"/>
      <c r="E65" s="36"/>
      <c r="F65" s="33"/>
      <c r="G65" s="3"/>
      <c r="H65" s="26"/>
      <c r="I65" s="3"/>
    </row>
    <row r="66" spans="1:9" s="34" customFormat="1" ht="18" customHeight="1">
      <c r="A66" s="3"/>
      <c r="B66" s="26"/>
      <c r="C66" s="26"/>
      <c r="D66" s="36"/>
      <c r="E66" s="36"/>
      <c r="F66" s="33"/>
      <c r="G66" s="3"/>
      <c r="H66" s="26"/>
      <c r="I66" s="3"/>
    </row>
    <row r="67" spans="1:9" s="34" customFormat="1" ht="18" customHeight="1">
      <c r="A67" s="3"/>
      <c r="B67" s="26"/>
      <c r="C67" s="26"/>
      <c r="D67" s="37"/>
      <c r="E67" s="37"/>
      <c r="F67" s="33"/>
      <c r="G67" s="3"/>
      <c r="H67" s="26"/>
      <c r="I67" s="3"/>
    </row>
    <row r="68" spans="1:9" s="34" customFormat="1" ht="18" customHeight="1">
      <c r="A68" s="3"/>
      <c r="B68" s="26"/>
      <c r="C68" s="26"/>
      <c r="D68" s="37"/>
      <c r="E68" s="37"/>
      <c r="F68" s="33"/>
      <c r="G68" s="3"/>
      <c r="H68" s="26"/>
      <c r="I68" s="3"/>
    </row>
    <row r="69" spans="1:9" s="34" customFormat="1" ht="18" customHeight="1">
      <c r="A69" s="3"/>
      <c r="B69" s="26"/>
      <c r="C69" s="26"/>
      <c r="D69" s="37"/>
      <c r="E69" s="37"/>
      <c r="F69" s="33"/>
      <c r="G69" s="3"/>
      <c r="H69" s="26"/>
      <c r="I69" s="3"/>
    </row>
    <row r="70" spans="1:9" s="34" customFormat="1" ht="18" customHeight="1">
      <c r="A70" s="3"/>
      <c r="B70" s="26"/>
      <c r="C70" s="26"/>
      <c r="D70" s="42"/>
      <c r="E70" s="42"/>
      <c r="F70" s="33"/>
      <c r="G70" s="3"/>
      <c r="H70" s="26"/>
      <c r="I70" s="3"/>
    </row>
    <row r="71" spans="1:9" s="34" customFormat="1" ht="18" customHeight="1">
      <c r="A71" s="3"/>
      <c r="B71" s="26"/>
      <c r="C71" s="26"/>
      <c r="D71" s="43"/>
      <c r="E71" s="43"/>
      <c r="F71" s="33"/>
      <c r="G71" s="3"/>
      <c r="H71" s="26"/>
      <c r="I71" s="3"/>
    </row>
    <row r="72" spans="1:9" s="34" customFormat="1" ht="18" customHeight="1">
      <c r="A72" s="3"/>
      <c r="B72" s="26"/>
      <c r="C72" s="26"/>
      <c r="D72" s="26"/>
      <c r="E72" s="26"/>
      <c r="F72" s="33"/>
      <c r="G72" s="3"/>
      <c r="H72" s="26"/>
      <c r="I72" s="3"/>
    </row>
    <row r="73" spans="1:11" s="34" customFormat="1" ht="18" customHeight="1">
      <c r="A73" s="3"/>
      <c r="B73" s="26"/>
      <c r="C73" s="26"/>
      <c r="D73" s="43"/>
      <c r="E73" s="43"/>
      <c r="F73" s="33"/>
      <c r="G73" s="3"/>
      <c r="H73" s="26"/>
      <c r="I73" s="3"/>
      <c r="J73" s="3"/>
      <c r="K73" s="3"/>
    </row>
    <row r="74" spans="1:9" s="34" customFormat="1" ht="18" customHeight="1">
      <c r="A74" s="3"/>
      <c r="B74" s="26"/>
      <c r="C74" s="26"/>
      <c r="D74" s="43"/>
      <c r="E74" s="43"/>
      <c r="F74" s="33"/>
      <c r="G74" s="3"/>
      <c r="H74" s="26"/>
      <c r="I74" s="3"/>
    </row>
    <row r="75" spans="1:11" s="34" customFormat="1" ht="18" customHeight="1">
      <c r="A75" s="3"/>
      <c r="B75" s="26"/>
      <c r="C75" s="26"/>
      <c r="D75" s="43"/>
      <c r="E75" s="43"/>
      <c r="F75" s="33"/>
      <c r="G75" s="3"/>
      <c r="H75" s="26"/>
      <c r="I75" s="3"/>
      <c r="J75" s="3"/>
      <c r="K75" s="3"/>
    </row>
    <row r="76" spans="1:9" s="34" customFormat="1" ht="18" customHeight="1">
      <c r="A76" s="3"/>
      <c r="B76" s="26"/>
      <c r="C76" s="26"/>
      <c r="D76" s="43"/>
      <c r="E76" s="43"/>
      <c r="F76" s="33"/>
      <c r="G76" s="3"/>
      <c r="H76" s="26"/>
      <c r="I76" s="3"/>
    </row>
    <row r="77" spans="1:9" s="34" customFormat="1" ht="18" customHeight="1">
      <c r="A77" s="3"/>
      <c r="B77" s="26"/>
      <c r="C77" s="26"/>
      <c r="D77" s="43"/>
      <c r="E77" s="43"/>
      <c r="F77" s="33"/>
      <c r="G77" s="3"/>
      <c r="H77" s="26"/>
      <c r="I77" s="3"/>
    </row>
    <row r="78" spans="1:9" s="34" customFormat="1" ht="18" customHeight="1">
      <c r="A78" s="3"/>
      <c r="B78" s="26"/>
      <c r="C78" s="26"/>
      <c r="D78" s="43"/>
      <c r="E78" s="43"/>
      <c r="F78" s="33"/>
      <c r="G78" s="3"/>
      <c r="H78" s="26"/>
      <c r="I78" s="3"/>
    </row>
    <row r="79" spans="1:9" s="34" customFormat="1" ht="18" customHeight="1">
      <c r="A79" s="3"/>
      <c r="B79" s="26"/>
      <c r="C79" s="26"/>
      <c r="D79" s="43"/>
      <c r="E79" s="43"/>
      <c r="F79" s="33"/>
      <c r="G79" s="3"/>
      <c r="H79" s="26"/>
      <c r="I79" s="3"/>
    </row>
    <row r="80" spans="1:9" s="34" customFormat="1" ht="18" customHeight="1">
      <c r="A80" s="3"/>
      <c r="B80" s="26"/>
      <c r="C80" s="26"/>
      <c r="D80" s="26"/>
      <c r="E80" s="26"/>
      <c r="F80" s="33"/>
      <c r="G80" s="3"/>
      <c r="H80" s="26"/>
      <c r="I80" s="3"/>
    </row>
    <row r="81" spans="1:9" s="34" customFormat="1" ht="18" customHeight="1">
      <c r="A81" s="3"/>
      <c r="B81" s="26"/>
      <c r="C81" s="26"/>
      <c r="D81" s="26"/>
      <c r="E81" s="26"/>
      <c r="F81" s="33"/>
      <c r="G81" s="3"/>
      <c r="H81" s="26"/>
      <c r="I81" s="3"/>
    </row>
    <row r="82" spans="1:9" s="34" customFormat="1" ht="18" customHeight="1">
      <c r="A82" s="3"/>
      <c r="B82" s="26"/>
      <c r="C82" s="26"/>
      <c r="D82" s="26"/>
      <c r="E82" s="26"/>
      <c r="F82" s="33"/>
      <c r="G82" s="3"/>
      <c r="H82" s="26"/>
      <c r="I82" s="3"/>
    </row>
    <row r="83" spans="6:12" ht="12.95" customHeight="1">
      <c r="F83" s="17"/>
      <c r="L83" s="34"/>
    </row>
    <row r="84" spans="1:12" s="34" customFormat="1" ht="12.95" customHeight="1">
      <c r="A84" s="3"/>
      <c r="B84" s="26"/>
      <c r="C84" s="26"/>
      <c r="D84" s="26"/>
      <c r="E84" s="26"/>
      <c r="G84" s="3"/>
      <c r="H84" s="26"/>
      <c r="I84" s="3"/>
      <c r="J84" s="3"/>
      <c r="K84" s="3"/>
      <c r="L84" s="3"/>
    </row>
    <row r="85" spans="6:12" ht="18" customHeight="1">
      <c r="F85" s="26"/>
      <c r="L85" s="34"/>
    </row>
    <row r="86" spans="1:12" s="34" customFormat="1" ht="15.75">
      <c r="A86" s="3"/>
      <c r="B86" s="26"/>
      <c r="C86" s="26"/>
      <c r="D86" s="26"/>
      <c r="E86" s="26"/>
      <c r="G86" s="3"/>
      <c r="H86" s="26"/>
      <c r="I86" s="3"/>
      <c r="J86" s="3"/>
      <c r="K86" s="3"/>
      <c r="L86" s="3"/>
    </row>
    <row r="87" spans="1:11" s="34" customFormat="1" ht="15.75">
      <c r="A87" s="3"/>
      <c r="B87" s="26"/>
      <c r="C87" s="26"/>
      <c r="D87" s="26"/>
      <c r="E87" s="26"/>
      <c r="G87" s="3"/>
      <c r="H87" s="26"/>
      <c r="I87" s="3"/>
      <c r="J87" s="3"/>
      <c r="K87" s="3"/>
    </row>
    <row r="88" spans="1:11" s="34" customFormat="1" ht="15.75">
      <c r="A88" s="3"/>
      <c r="B88" s="26"/>
      <c r="C88" s="26"/>
      <c r="D88" s="26"/>
      <c r="E88" s="26"/>
      <c r="G88" s="3"/>
      <c r="H88" s="26"/>
      <c r="I88" s="3"/>
      <c r="J88" s="3"/>
      <c r="K88" s="3"/>
    </row>
    <row r="89" spans="1:11" s="34" customFormat="1" ht="15.75">
      <c r="A89" s="3"/>
      <c r="B89" s="26"/>
      <c r="C89" s="26"/>
      <c r="D89" s="26"/>
      <c r="E89" s="26"/>
      <c r="G89" s="3"/>
      <c r="H89" s="26"/>
      <c r="I89" s="3"/>
      <c r="J89" s="3"/>
      <c r="K89" s="3"/>
    </row>
    <row r="90" spans="1:11" s="34" customFormat="1" ht="15.75">
      <c r="A90" s="3"/>
      <c r="B90" s="26"/>
      <c r="C90" s="26"/>
      <c r="D90" s="26"/>
      <c r="E90" s="26"/>
      <c r="G90" s="3"/>
      <c r="H90" s="26"/>
      <c r="I90" s="3"/>
      <c r="J90" s="3"/>
      <c r="K90" s="3"/>
    </row>
    <row r="91" spans="1:11" s="34" customFormat="1" ht="15.75">
      <c r="A91" s="3"/>
      <c r="B91" s="26"/>
      <c r="C91" s="26"/>
      <c r="D91" s="26"/>
      <c r="E91" s="26"/>
      <c r="G91" s="3"/>
      <c r="H91" s="26"/>
      <c r="I91" s="3"/>
      <c r="J91" s="3"/>
      <c r="K91" s="3"/>
    </row>
    <row r="92" spans="1:11" s="34" customFormat="1" ht="15.75">
      <c r="A92" s="3"/>
      <c r="B92" s="26"/>
      <c r="C92" s="26"/>
      <c r="D92" s="26"/>
      <c r="E92" s="26"/>
      <c r="G92" s="3"/>
      <c r="H92" s="26"/>
      <c r="I92" s="3"/>
      <c r="J92" s="3"/>
      <c r="K92" s="3"/>
    </row>
    <row r="93" ht="15.75">
      <c r="L93" s="34"/>
    </row>
  </sheetData>
  <mergeCells count="1">
    <mergeCell ref="H5:I5"/>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7"/>
  <sheetViews>
    <sheetView zoomScale="75" zoomScaleNormal="75" workbookViewId="0" topLeftCell="A1"/>
  </sheetViews>
  <sheetFormatPr defaultColWidth="11.421875" defaultRowHeight="12.75"/>
  <cols>
    <col min="1" max="1" width="91.57421875" style="3" customWidth="1"/>
    <col min="2" max="2" width="19.7109375" style="26" customWidth="1"/>
    <col min="3" max="3" width="26.421875" style="17" hidden="1" customWidth="1"/>
    <col min="4" max="4" width="35.140625" style="17" hidden="1" customWidth="1"/>
    <col min="5" max="5" width="4.00390625" style="3" customWidth="1"/>
    <col min="6" max="6" width="17.8515625" style="3" customWidth="1"/>
    <col min="7" max="7" width="11.421875" style="3" customWidth="1"/>
    <col min="8" max="8" width="14.8515625" style="3" customWidth="1"/>
    <col min="9" max="9" width="18.7109375" style="3" customWidth="1"/>
    <col min="10" max="16384" width="11.421875" style="3" customWidth="1"/>
  </cols>
  <sheetData>
    <row r="1" spans="1:80" ht="60" customHeight="1">
      <c r="A1" s="5"/>
      <c r="B1" s="6"/>
      <c r="C1" s="15"/>
      <c r="D1" s="15"/>
      <c r="E1" s="6"/>
      <c r="F1" s="6"/>
      <c r="G1" s="6"/>
      <c r="H1" s="7" t="s">
        <v>5</v>
      </c>
      <c r="I1" s="8">
        <f>Balance!I1</f>
        <v>1995</v>
      </c>
      <c r="J1" s="48"/>
      <c r="K1" s="48"/>
      <c r="L1" s="48"/>
      <c r="M1" s="48"/>
      <c r="N1" s="48"/>
      <c r="O1" s="48"/>
      <c r="P1" s="48"/>
      <c r="Q1" s="48"/>
      <c r="R1" s="48"/>
      <c r="S1" s="48"/>
      <c r="T1" s="48"/>
      <c r="U1" s="48"/>
      <c r="V1" s="48"/>
      <c r="W1" s="48"/>
      <c r="X1" s="48"/>
      <c r="Y1" s="48"/>
      <c r="Z1" s="48"/>
      <c r="AA1" s="48"/>
      <c r="AB1" s="48"/>
      <c r="AC1" s="48"/>
      <c r="AD1" s="48"/>
      <c r="AE1" s="49"/>
      <c r="AF1" s="49"/>
      <c r="AG1" s="49"/>
      <c r="AH1" s="49"/>
      <c r="AI1" s="49"/>
      <c r="AJ1" s="49"/>
      <c r="AK1" s="49"/>
      <c r="AL1" s="49"/>
      <c r="AM1" s="49"/>
      <c r="AN1" s="49"/>
      <c r="AO1" s="49"/>
      <c r="AP1" s="49"/>
      <c r="AQ1" s="49"/>
      <c r="AR1" s="49"/>
      <c r="AS1" s="49"/>
      <c r="AT1" s="49"/>
      <c r="AU1" s="49"/>
      <c r="AV1" s="49"/>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ht="12.95" customHeight="1" thickBot="1">
      <c r="A2" s="5"/>
      <c r="B2" s="6"/>
      <c r="C2" s="15"/>
      <c r="D2" s="15"/>
      <c r="E2" s="6"/>
      <c r="F2" s="6"/>
      <c r="G2" s="6"/>
      <c r="H2" s="9"/>
      <c r="I2" s="9"/>
      <c r="J2" s="48"/>
      <c r="K2" s="48"/>
      <c r="L2" s="48"/>
      <c r="M2" s="48"/>
      <c r="N2" s="48"/>
      <c r="O2" s="48"/>
      <c r="P2" s="48"/>
      <c r="Q2" s="48"/>
      <c r="R2" s="48"/>
      <c r="S2" s="48"/>
      <c r="T2" s="48"/>
      <c r="U2" s="48"/>
      <c r="V2" s="48"/>
      <c r="W2" s="48"/>
      <c r="X2" s="48"/>
      <c r="Y2" s="48"/>
      <c r="Z2" s="48"/>
      <c r="AA2" s="48"/>
      <c r="AB2" s="48"/>
      <c r="AC2" s="48"/>
      <c r="AD2" s="48"/>
      <c r="AE2" s="49"/>
      <c r="AF2" s="49"/>
      <c r="AG2" s="49"/>
      <c r="AH2" s="49"/>
      <c r="AI2" s="49"/>
      <c r="AJ2" s="49"/>
      <c r="AK2" s="49"/>
      <c r="AL2" s="49"/>
      <c r="AM2" s="49"/>
      <c r="AN2" s="49"/>
      <c r="AO2" s="49"/>
      <c r="AP2" s="49"/>
      <c r="AQ2" s="49"/>
      <c r="AR2" s="49"/>
      <c r="AS2" s="49"/>
      <c r="AT2" s="49"/>
      <c r="AU2" s="49"/>
      <c r="AV2" s="49"/>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ht="33" customHeight="1">
      <c r="A3" s="75" t="str">
        <f>"                                            "&amp;"ENTIDADES AUTÓNOMAS COMERCIALES"</f>
        <v xml:space="preserve">                                            ENTIDADES AUTÓNOMAS COMERCIALES</v>
      </c>
      <c r="B3" s="10"/>
      <c r="C3" s="15"/>
      <c r="D3" s="15"/>
      <c r="E3" s="10"/>
      <c r="F3" s="11"/>
      <c r="G3" s="11"/>
      <c r="H3" s="12"/>
      <c r="I3" s="13"/>
      <c r="J3" s="48"/>
      <c r="K3" s="48"/>
      <c r="L3" s="48"/>
      <c r="M3" s="48"/>
      <c r="N3" s="48"/>
      <c r="O3" s="48"/>
      <c r="P3" s="48"/>
      <c r="Q3" s="48"/>
      <c r="R3" s="48"/>
      <c r="S3" s="48"/>
      <c r="T3" s="48"/>
      <c r="U3" s="48"/>
      <c r="V3" s="48"/>
      <c r="W3" s="48"/>
      <c r="X3" s="48"/>
      <c r="Y3" s="48"/>
      <c r="Z3" s="48"/>
      <c r="AA3" s="48"/>
      <c r="AB3" s="48"/>
      <c r="AC3" s="48"/>
      <c r="AD3" s="48"/>
      <c r="AE3" s="50"/>
      <c r="AF3" s="50"/>
      <c r="AG3" s="50"/>
      <c r="AH3" s="50"/>
      <c r="AI3" s="50"/>
      <c r="AJ3" s="50"/>
      <c r="AK3" s="50"/>
      <c r="AL3" s="50"/>
      <c r="AM3" s="50"/>
      <c r="AN3" s="50"/>
      <c r="AO3" s="50"/>
      <c r="AP3" s="50"/>
      <c r="AQ3" s="50"/>
      <c r="AR3" s="50"/>
      <c r="AS3" s="50"/>
      <c r="AT3" s="50"/>
      <c r="AU3" s="50"/>
      <c r="AV3" s="50"/>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0" ht="20.1" customHeight="1">
      <c r="A4" s="14" t="s">
        <v>29</v>
      </c>
      <c r="B4" s="15"/>
      <c r="C4" s="15"/>
      <c r="D4" s="15"/>
      <c r="E4" s="15"/>
      <c r="F4" s="14"/>
      <c r="G4" s="14"/>
      <c r="H4" s="16"/>
      <c r="I4" s="17"/>
      <c r="J4" s="48"/>
      <c r="K4" s="48"/>
      <c r="L4" s="48"/>
      <c r="M4" s="48"/>
      <c r="N4" s="48"/>
      <c r="O4" s="48"/>
      <c r="P4" s="48"/>
      <c r="Q4" s="48"/>
      <c r="R4" s="48"/>
      <c r="S4" s="48"/>
      <c r="T4" s="48"/>
      <c r="U4" s="48"/>
      <c r="V4" s="48"/>
      <c r="W4" s="48"/>
      <c r="X4" s="48"/>
      <c r="Y4" s="48"/>
      <c r="Z4" s="48"/>
      <c r="AA4" s="48"/>
      <c r="AB4" s="48"/>
      <c r="AC4" s="48"/>
      <c r="AD4" s="48"/>
      <c r="AE4" s="50"/>
      <c r="AF4" s="50"/>
      <c r="AG4" s="50"/>
      <c r="AH4" s="50"/>
      <c r="AI4" s="50"/>
      <c r="AJ4" s="50"/>
      <c r="AK4" s="50"/>
      <c r="AL4" s="50"/>
      <c r="AM4" s="50"/>
      <c r="AN4" s="50"/>
      <c r="AO4" s="50"/>
      <c r="AP4" s="50"/>
      <c r="AQ4" s="50"/>
      <c r="AR4" s="50"/>
      <c r="AS4" s="50"/>
      <c r="AT4" s="50"/>
      <c r="AU4" s="50"/>
      <c r="AV4" s="50"/>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ht="18" customHeight="1" thickBot="1">
      <c r="A5" s="18"/>
      <c r="B5" s="19"/>
      <c r="C5" s="21"/>
      <c r="D5" s="21"/>
      <c r="E5" s="19"/>
      <c r="F5" s="19"/>
      <c r="G5" s="19"/>
      <c r="H5" s="76" t="str">
        <f>"Población a 01/01/"&amp;I1</f>
        <v>Población a 01/01/1995</v>
      </c>
      <c r="I5" s="78">
        <f>Balance!H5</f>
        <v>3969401</v>
      </c>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ht="15" customHeight="1">
      <c r="A6" s="20"/>
      <c r="B6" s="21"/>
      <c r="C6" s="45"/>
      <c r="D6" s="45"/>
      <c r="E6" s="21"/>
      <c r="F6" s="21"/>
      <c r="G6" s="22"/>
      <c r="H6" s="16"/>
      <c r="I6" s="16"/>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ht="12.95" customHeight="1">
      <c r="A7" s="20"/>
      <c r="B7" s="21"/>
      <c r="C7" s="21"/>
      <c r="D7" s="21"/>
      <c r="E7" s="21"/>
      <c r="F7" s="21"/>
      <c r="G7" s="21"/>
      <c r="H7" s="21"/>
      <c r="I7" s="21"/>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0" ht="21" customHeight="1">
      <c r="A8" s="23" t="s">
        <v>111</v>
      </c>
      <c r="B8" s="21"/>
      <c r="C8" s="21"/>
      <c r="D8" s="21"/>
      <c r="E8" s="21"/>
      <c r="F8" s="23" t="s">
        <v>402</v>
      </c>
      <c r="G8" s="21"/>
      <c r="H8" s="21"/>
      <c r="I8" s="21"/>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pans="1:80" ht="18" customHeight="1">
      <c r="A9" s="24"/>
      <c r="B9" s="21"/>
      <c r="C9" s="44">
        <v>21400</v>
      </c>
      <c r="D9" s="44">
        <v>21401</v>
      </c>
      <c r="E9" s="21"/>
      <c r="F9" s="23" t="s">
        <v>403</v>
      </c>
      <c r="G9" s="21"/>
      <c r="H9" s="21"/>
      <c r="I9" s="21"/>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ht="12.95" customHeight="1">
      <c r="A10" s="23"/>
      <c r="B10" s="38"/>
      <c r="C10" s="44" t="s">
        <v>437</v>
      </c>
      <c r="D10" s="44" t="s">
        <v>437</v>
      </c>
      <c r="E10" s="21"/>
      <c r="F10" s="21"/>
      <c r="G10" s="21"/>
      <c r="H10" s="21"/>
      <c r="I10" s="21"/>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9" ht="18" customHeight="1" thickBot="1">
      <c r="A11" s="25" t="s">
        <v>6</v>
      </c>
      <c r="B11" s="17"/>
      <c r="C11" s="44" t="s">
        <v>0</v>
      </c>
      <c r="D11" s="44" t="s">
        <v>1</v>
      </c>
      <c r="E11" s="17"/>
      <c r="F11" s="21"/>
      <c r="G11" s="17"/>
      <c r="I11" s="55"/>
    </row>
    <row r="12" spans="1:9" ht="33" customHeight="1">
      <c r="A12" s="56" t="s">
        <v>10</v>
      </c>
      <c r="B12" s="28">
        <f>I1</f>
        <v>1995</v>
      </c>
      <c r="C12" s="44"/>
      <c r="D12" s="44"/>
      <c r="E12" s="17"/>
      <c r="F12" s="197" t="s">
        <v>402</v>
      </c>
      <c r="G12" s="197"/>
      <c r="H12" s="57"/>
      <c r="I12" s="28">
        <f>I1</f>
        <v>1995</v>
      </c>
    </row>
    <row r="13" spans="1:9" ht="18" customHeight="1">
      <c r="A13" s="58" t="s">
        <v>12</v>
      </c>
      <c r="B13" s="59"/>
      <c r="C13" s="44"/>
      <c r="D13" s="44"/>
      <c r="E13" s="17"/>
      <c r="F13" s="60" t="s">
        <v>13</v>
      </c>
      <c r="G13" s="61"/>
      <c r="H13" s="62"/>
      <c r="I13" s="61"/>
    </row>
    <row r="14" spans="1:9" s="34" customFormat="1" ht="18" customHeight="1">
      <c r="A14" s="33" t="s">
        <v>44</v>
      </c>
      <c r="B14" s="46">
        <f aca="true" t="shared" si="0" ref="B14:B33">C14+D14</f>
        <v>0</v>
      </c>
      <c r="C14" s="45">
        <f>C15+C16+C17+C18</f>
        <v>0</v>
      </c>
      <c r="D14" s="45">
        <f>D15+D16+D17+D18</f>
        <v>0</v>
      </c>
      <c r="E14" s="33"/>
      <c r="F14" s="33"/>
      <c r="G14" s="17"/>
      <c r="H14" s="64"/>
      <c r="I14" s="17"/>
    </row>
    <row r="15" spans="1:9" s="34" customFormat="1" ht="18" customHeight="1">
      <c r="A15" s="65" t="s">
        <v>427</v>
      </c>
      <c r="B15" s="46">
        <f t="shared" si="0"/>
        <v>0</v>
      </c>
      <c r="C15" s="45">
        <f>'[1]2111'!$L$7+'[1]2111'!$L$8</f>
        <v>0</v>
      </c>
      <c r="D15" s="45">
        <f>'[2]2111'!$L$7+'[2]2111'!$L$8</f>
        <v>0</v>
      </c>
      <c r="E15" s="33"/>
      <c r="F15" s="33" t="s">
        <v>14</v>
      </c>
      <c r="I15" s="66">
        <f>IF(Balance!H35=0,"--",Balance!B47/Balance!H35)</f>
        <v>0.24329185270570844</v>
      </c>
    </row>
    <row r="16" spans="1:9" s="34" customFormat="1" ht="18" customHeight="1">
      <c r="A16" s="65" t="s">
        <v>428</v>
      </c>
      <c r="B16" s="46">
        <f t="shared" si="0"/>
        <v>0</v>
      </c>
      <c r="C16" s="45"/>
      <c r="D16" s="45"/>
      <c r="E16" s="33"/>
      <c r="F16" s="33" t="s">
        <v>15</v>
      </c>
      <c r="I16" s="66">
        <f>(Memoria!C45+Memoria!C52)/Balance!H35</f>
        <v>0.9154146915755461</v>
      </c>
    </row>
    <row r="17" spans="1:9" s="34" customFormat="1" ht="18" customHeight="1">
      <c r="A17" s="65" t="s">
        <v>429</v>
      </c>
      <c r="B17" s="46">
        <f t="shared" si="0"/>
        <v>0</v>
      </c>
      <c r="C17" s="45" t="str">
        <f>'[1]2111'!$L$11</f>
        <v>0,00</v>
      </c>
      <c r="D17" s="45" t="str">
        <f>'[2]2111'!$L$11</f>
        <v>0,00</v>
      </c>
      <c r="E17" s="33"/>
      <c r="F17" s="33" t="s">
        <v>16</v>
      </c>
      <c r="I17" s="66">
        <f>IF(Balance!H35=0,"--",Balance!B35/Balance!H35)</f>
        <v>0.6922946631927924</v>
      </c>
    </row>
    <row r="18" spans="1:9" s="34" customFormat="1" ht="18" customHeight="1">
      <c r="A18" s="65" t="s">
        <v>430</v>
      </c>
      <c r="B18" s="46">
        <f t="shared" si="0"/>
        <v>0</v>
      </c>
      <c r="C18" s="45"/>
      <c r="D18" s="45"/>
      <c r="E18" s="33"/>
      <c r="F18" s="33" t="s">
        <v>17</v>
      </c>
      <c r="I18" s="67">
        <f>Balance!B35-Balance!H35</f>
        <v>-1552020.0799999996</v>
      </c>
    </row>
    <row r="19" spans="1:9" s="34" customFormat="1" ht="18" customHeight="1">
      <c r="A19" s="65" t="s">
        <v>431</v>
      </c>
      <c r="B19" s="46">
        <f t="shared" si="0"/>
        <v>0</v>
      </c>
      <c r="C19" s="45" t="str">
        <f>'[1]2111'!$L$6</f>
        <v>0,00</v>
      </c>
      <c r="D19" s="45" t="str">
        <f>'[2]2111'!$L$6</f>
        <v>0,00</v>
      </c>
      <c r="E19" s="33"/>
      <c r="F19" s="33" t="s">
        <v>18</v>
      </c>
      <c r="I19" s="68" t="str">
        <f>INT(Balance!B37/(B32+B49+B60+B61)*365)&amp;"  días"</f>
        <v>42  días</v>
      </c>
    </row>
    <row r="20" spans="1:9" s="34" customFormat="1" ht="18" customHeight="1">
      <c r="A20" s="33" t="s">
        <v>45</v>
      </c>
      <c r="B20" s="46">
        <f t="shared" si="0"/>
        <v>13152401.190000001</v>
      </c>
      <c r="C20" s="45">
        <f>C21+C22+C23+C24</f>
        <v>8826338.3</v>
      </c>
      <c r="D20" s="45">
        <f>D21+D22+D23+D24</f>
        <v>4326062.89</v>
      </c>
      <c r="E20" s="33"/>
      <c r="F20" s="33" t="s">
        <v>19</v>
      </c>
      <c r="I20" s="68" t="str">
        <f>INT(Balance!H38/-(B47+B54+B62+B63)*365)&amp;"  días"</f>
        <v>82  días</v>
      </c>
    </row>
    <row r="21" spans="1:9" s="34" customFormat="1" ht="18" customHeight="1">
      <c r="A21" s="65" t="s">
        <v>46</v>
      </c>
      <c r="B21" s="46">
        <f t="shared" si="0"/>
        <v>13152401.190000001</v>
      </c>
      <c r="C21" s="45" t="str">
        <f>'[1]2111'!$L$10</f>
        <v>8.826.338,30</v>
      </c>
      <c r="D21" s="45" t="str">
        <f>'[2]2111'!$L$10</f>
        <v>4.326.062,89</v>
      </c>
      <c r="E21" s="33"/>
      <c r="F21" s="33" t="s">
        <v>20</v>
      </c>
      <c r="I21" s="68" t="str">
        <f>INT((Balance!H38+Balance!H45)/-(B33+B34+B35+B40+B42)*365)&amp;"  días"</f>
        <v>86  días</v>
      </c>
    </row>
    <row r="22" spans="1:6" s="34" customFormat="1" ht="18" customHeight="1">
      <c r="A22" s="65" t="s">
        <v>47</v>
      </c>
      <c r="B22" s="46">
        <f t="shared" si="0"/>
        <v>0</v>
      </c>
      <c r="C22" s="45" t="str">
        <f>'[1]2111'!$L$9</f>
        <v>0,00</v>
      </c>
      <c r="D22" s="45" t="str">
        <f>'[2]2111'!$L$9</f>
        <v>0,00</v>
      </c>
      <c r="E22" s="33"/>
      <c r="F22" s="33"/>
    </row>
    <row r="23" spans="1:9" s="34" customFormat="1" ht="18" customHeight="1">
      <c r="A23" s="65" t="s">
        <v>48</v>
      </c>
      <c r="B23" s="46">
        <f t="shared" si="0"/>
        <v>0</v>
      </c>
      <c r="C23" s="45"/>
      <c r="D23" s="45"/>
      <c r="E23" s="33"/>
      <c r="F23" s="60" t="s">
        <v>21</v>
      </c>
      <c r="G23" s="60"/>
      <c r="H23" s="60"/>
      <c r="I23" s="60"/>
    </row>
    <row r="24" spans="1:9" s="34" customFormat="1" ht="18" customHeight="1">
      <c r="A24" s="65" t="s">
        <v>49</v>
      </c>
      <c r="B24" s="46">
        <f t="shared" si="0"/>
        <v>0</v>
      </c>
      <c r="C24" s="45"/>
      <c r="D24" s="45"/>
      <c r="E24" s="33"/>
      <c r="F24" s="33"/>
      <c r="G24" s="33"/>
      <c r="H24" s="33"/>
      <c r="I24" s="33"/>
    </row>
    <row r="25" spans="1:9" s="34" customFormat="1" ht="18" customHeight="1">
      <c r="A25" s="33" t="s">
        <v>112</v>
      </c>
      <c r="B25" s="46">
        <f t="shared" si="0"/>
        <v>3459865.42</v>
      </c>
      <c r="C25" s="45">
        <f>'[1]2111'!$L$4+0.01</f>
        <v>3424543.4499999997</v>
      </c>
      <c r="D25" s="45" t="str">
        <f>'[2]2111'!$L$4</f>
        <v>35.321,97</v>
      </c>
      <c r="E25" s="33"/>
      <c r="F25" s="33" t="s">
        <v>22</v>
      </c>
      <c r="I25" s="67">
        <f>(Balance!H26+Balance!H35)/I5</f>
        <v>1.270683329802154</v>
      </c>
    </row>
    <row r="26" spans="1:9" s="34" customFormat="1" ht="18" customHeight="1">
      <c r="A26" s="33" t="s">
        <v>113</v>
      </c>
      <c r="B26" s="46">
        <f t="shared" si="0"/>
        <v>0</v>
      </c>
      <c r="C26" s="45"/>
      <c r="D26" s="45"/>
      <c r="E26" s="33"/>
      <c r="F26" s="33" t="s">
        <v>23</v>
      </c>
      <c r="I26" s="66">
        <f>(Balance!H26+Balance!H35)/Balance!H49</f>
        <v>0.29960241370817337</v>
      </c>
    </row>
    <row r="27" spans="1:9" s="34" customFormat="1" ht="18" customHeight="1">
      <c r="A27" s="33" t="s">
        <v>114</v>
      </c>
      <c r="B27" s="46">
        <f t="shared" si="0"/>
        <v>0</v>
      </c>
      <c r="C27" s="45"/>
      <c r="D27" s="45"/>
      <c r="E27" s="69"/>
      <c r="F27" s="33" t="s">
        <v>24</v>
      </c>
      <c r="I27" s="66" t="str">
        <f>IF(Balance!H26=0,"  --",Balance!H35/Balance!H26)</f>
        <v xml:space="preserve">  --</v>
      </c>
    </row>
    <row r="28" spans="1:9" s="34" customFormat="1" ht="18" customHeight="1">
      <c r="A28" s="33" t="s">
        <v>115</v>
      </c>
      <c r="B28" s="46">
        <f t="shared" si="0"/>
        <v>2082872.78</v>
      </c>
      <c r="C28" s="45">
        <f>+'[1]2111'!$L$12+'[1]2111'!$L$13</f>
        <v>177790.01</v>
      </c>
      <c r="D28" s="45">
        <f>+'[2]2111'!$L$12+'[2]2111'!$L$13</f>
        <v>1905082.77</v>
      </c>
      <c r="E28" s="69"/>
      <c r="F28" s="33" t="s">
        <v>404</v>
      </c>
      <c r="I28" s="66">
        <f>Balance!B13/Balance!H13</f>
        <v>1.8431119109547178</v>
      </c>
    </row>
    <row r="29" spans="1:9" s="34" customFormat="1" ht="18" customHeight="1">
      <c r="A29" s="65" t="s">
        <v>50</v>
      </c>
      <c r="B29" s="46">
        <f t="shared" si="0"/>
        <v>2082872.78</v>
      </c>
      <c r="C29" s="45" t="str">
        <f>+'[1]2111'!$L$12</f>
        <v>177.790,01</v>
      </c>
      <c r="D29" s="45" t="str">
        <f>+'[2]2111'!$L$12</f>
        <v>1.905.082,77</v>
      </c>
      <c r="E29" s="69"/>
      <c r="F29" s="34" t="s">
        <v>405</v>
      </c>
      <c r="I29" s="66">
        <f>Balance!B49/(Balance!H35+Balance!H26)</f>
        <v>3.337756821191856</v>
      </c>
    </row>
    <row r="30" spans="1:9" s="34" customFormat="1" ht="18" customHeight="1">
      <c r="A30" s="65" t="s">
        <v>51</v>
      </c>
      <c r="B30" s="46">
        <f t="shared" si="0"/>
        <v>0</v>
      </c>
      <c r="C30" s="45" t="str">
        <f>'[1]2111'!$L$13</f>
        <v>0,00</v>
      </c>
      <c r="D30" s="45" t="str">
        <f>'[2]2111'!$L$13</f>
        <v>0,00</v>
      </c>
      <c r="E30" s="69"/>
      <c r="F30" s="33" t="s">
        <v>406</v>
      </c>
      <c r="I30" s="66" t="str">
        <f>IF(Balance!H28=0,"   --",Balance!B20/Balance!H28)</f>
        <v xml:space="preserve">   --</v>
      </c>
    </row>
    <row r="31" spans="1:9" s="34" customFormat="1" ht="18" customHeight="1">
      <c r="A31" s="33" t="s">
        <v>116</v>
      </c>
      <c r="B31" s="46">
        <f t="shared" si="0"/>
        <v>0</v>
      </c>
      <c r="C31" s="45"/>
      <c r="D31" s="45"/>
      <c r="E31" s="69"/>
      <c r="F31" s="34" t="s">
        <v>407</v>
      </c>
      <c r="I31" s="66">
        <f>(B70--B41-B46-B54+B49-B63)/Balance!B49</f>
        <v>-0.14500588229079883</v>
      </c>
    </row>
    <row r="32" spans="1:9" s="34" customFormat="1" ht="18" customHeight="1">
      <c r="A32" s="70" t="s">
        <v>117</v>
      </c>
      <c r="B32" s="200">
        <f t="shared" si="0"/>
        <v>18695139.39</v>
      </c>
      <c r="C32" s="45">
        <f>C15+C20+C25+C26+C27+C28+C31</f>
        <v>12428671.76</v>
      </c>
      <c r="D32" s="45">
        <f>D15+D20+D25+D26+D27+D28+D31</f>
        <v>6266467.629999999</v>
      </c>
      <c r="E32" s="69"/>
      <c r="F32" s="34" t="s">
        <v>408</v>
      </c>
      <c r="I32" s="66">
        <f>(Balance!B13+Balance!B32)/(Balance!H13+Balance!H24+Balance!H25+Balance!H26)</f>
        <v>1.1316241852094484</v>
      </c>
    </row>
    <row r="33" spans="1:9" s="34" customFormat="1" ht="18" customHeight="1">
      <c r="A33" s="33" t="s">
        <v>118</v>
      </c>
      <c r="B33" s="46">
        <f t="shared" si="0"/>
        <v>-8844960.47</v>
      </c>
      <c r="C33" s="45">
        <f>-'[1]2111'!$D$5</f>
        <v>-4483013.23</v>
      </c>
      <c r="D33" s="45">
        <f>-'[2]2111'!$D$5</f>
        <v>-4361947.24</v>
      </c>
      <c r="E33" s="69"/>
      <c r="F33" s="34" t="s">
        <v>409</v>
      </c>
      <c r="I33" s="66">
        <f>Balance!H13/(Balance!H24+Balance!H25+Balance!H26+Balance!H35)</f>
        <v>0.7544673380881818</v>
      </c>
    </row>
    <row r="34" spans="1:9" s="34" customFormat="1" ht="18" customHeight="1">
      <c r="A34" s="33" t="s">
        <v>119</v>
      </c>
      <c r="B34" s="46">
        <f aca="true" t="shared" si="1" ref="B34:B65">C34+D34</f>
        <v>0</v>
      </c>
      <c r="C34" s="45">
        <f>-'[1]2111'!$D$9</f>
        <v>0</v>
      </c>
      <c r="D34" s="45">
        <f>-'[2]2111'!$D$9</f>
        <v>0</v>
      </c>
      <c r="E34" s="69"/>
      <c r="F34" s="34" t="s">
        <v>410</v>
      </c>
      <c r="I34" s="66" t="str">
        <f>IF((Balance!H26)=0,"   --",(Balance!H35)/(Balance!H26+Balance!H35))</f>
        <v xml:space="preserve">   --</v>
      </c>
    </row>
    <row r="35" spans="1:5" s="34" customFormat="1" ht="18" customHeight="1">
      <c r="A35" s="33" t="s">
        <v>120</v>
      </c>
      <c r="B35" s="46">
        <f t="shared" si="1"/>
        <v>-2163562.92</v>
      </c>
      <c r="C35" s="45">
        <f>C36+C37+C38+C39</f>
        <v>-2040125.74</v>
      </c>
      <c r="D35" s="45">
        <f>D36+D37+D38+D39</f>
        <v>-123437.18</v>
      </c>
      <c r="E35" s="69"/>
    </row>
    <row r="36" spans="1:5" s="34" customFormat="1" ht="18" customHeight="1">
      <c r="A36" s="65" t="s">
        <v>46</v>
      </c>
      <c r="B36" s="46">
        <f t="shared" si="1"/>
        <v>-2019320.01</v>
      </c>
      <c r="C36" s="45">
        <f>-'[1]2111'!$D$11</f>
        <v>-1895882.83</v>
      </c>
      <c r="D36" s="45">
        <f>-'[2]2111'!$D$11</f>
        <v>-123437.18</v>
      </c>
      <c r="E36" s="69"/>
    </row>
    <row r="37" spans="1:9" s="34" customFormat="1" ht="18" customHeight="1">
      <c r="A37" s="65" t="s">
        <v>47</v>
      </c>
      <c r="B37" s="46">
        <f t="shared" si="1"/>
        <v>0</v>
      </c>
      <c r="C37" s="45">
        <f>-'[1]2111'!$D$10</f>
        <v>0</v>
      </c>
      <c r="D37" s="45">
        <f>-'[2]2111'!$D$10</f>
        <v>0</v>
      </c>
      <c r="E37" s="69"/>
      <c r="F37" s="60" t="s">
        <v>422</v>
      </c>
      <c r="G37" s="60"/>
      <c r="H37" s="60"/>
      <c r="I37" s="60"/>
    </row>
    <row r="38" spans="1:9" s="34" customFormat="1" ht="18" customHeight="1">
      <c r="A38" s="65" t="s">
        <v>48</v>
      </c>
      <c r="B38" s="46">
        <f t="shared" si="1"/>
        <v>-144242.91</v>
      </c>
      <c r="C38" s="45">
        <f>-'[1]2111'!$D$12</f>
        <v>-144242.91</v>
      </c>
      <c r="D38" s="45">
        <f>-'[2]2111'!$D$12</f>
        <v>0</v>
      </c>
      <c r="E38" s="69"/>
      <c r="F38" s="33"/>
      <c r="G38" s="33"/>
      <c r="H38" s="33"/>
      <c r="I38" s="33"/>
    </row>
    <row r="39" spans="1:9" s="34" customFormat="1" ht="18" customHeight="1">
      <c r="A39" s="65" t="s">
        <v>49</v>
      </c>
      <c r="B39" s="46">
        <f t="shared" si="1"/>
        <v>0</v>
      </c>
      <c r="C39" s="45"/>
      <c r="D39" s="45"/>
      <c r="E39" s="33"/>
      <c r="F39" s="33" t="s">
        <v>25</v>
      </c>
      <c r="I39" s="66">
        <f>IF(Balance!H13&lt;0,B70/ABS(Balance!H13),B70/Balance!H13)</f>
        <v>-0.48662568806048906</v>
      </c>
    </row>
    <row r="40" spans="1:9" s="34" customFormat="1" ht="18" customHeight="1">
      <c r="A40" s="33" t="s">
        <v>121</v>
      </c>
      <c r="B40" s="46">
        <f t="shared" si="1"/>
        <v>-2079007.5799999998</v>
      </c>
      <c r="C40" s="45">
        <f>-'[1]2111'!$D$4</f>
        <v>-2078059.69</v>
      </c>
      <c r="D40" s="45">
        <f>-'[2]2111'!$D$4</f>
        <v>-947.89</v>
      </c>
      <c r="E40" s="33"/>
      <c r="F40" s="34" t="s">
        <v>411</v>
      </c>
      <c r="I40" s="66">
        <f>B14/B32</f>
        <v>0</v>
      </c>
    </row>
    <row r="41" spans="1:9" s="34" customFormat="1" ht="18" customHeight="1">
      <c r="A41" s="33" t="s">
        <v>122</v>
      </c>
      <c r="B41" s="46">
        <f t="shared" si="1"/>
        <v>0</v>
      </c>
      <c r="C41" s="45"/>
      <c r="D41" s="45"/>
      <c r="E41" s="33"/>
      <c r="F41" s="34" t="s">
        <v>412</v>
      </c>
      <c r="I41" s="66">
        <f>B20/B32</f>
        <v>0.7035198248928382</v>
      </c>
    </row>
    <row r="42" spans="1:9" s="34" customFormat="1" ht="18" customHeight="1">
      <c r="A42" s="33" t="s">
        <v>368</v>
      </c>
      <c r="B42" s="46">
        <f t="shared" si="1"/>
        <v>-8149857.450000001</v>
      </c>
      <c r="C42" s="45">
        <f>-'[1]2111'!$D$8-'[1]2111'!$D$7</f>
        <v>-6900239.090000001</v>
      </c>
      <c r="D42" s="45">
        <f>-'[2]2111'!$D$8-'[2]2111'!$D$7</f>
        <v>-1249618.3599999999</v>
      </c>
      <c r="E42" s="33"/>
      <c r="F42" s="33" t="s">
        <v>413</v>
      </c>
      <c r="I42" s="66">
        <f>B25/B32</f>
        <v>0.18506764500780756</v>
      </c>
    </row>
    <row r="43" spans="1:9" s="34" customFormat="1" ht="18" customHeight="1">
      <c r="A43" s="65" t="s">
        <v>123</v>
      </c>
      <c r="B43" s="46">
        <f t="shared" si="1"/>
        <v>-8087911.100000001</v>
      </c>
      <c r="C43" s="45">
        <f>-'[1]2111'!$D$8</f>
        <v>-6847768.65</v>
      </c>
      <c r="D43" s="45">
        <f>-'[2]2111'!$D$8</f>
        <v>-1240142.45</v>
      </c>
      <c r="E43" s="33"/>
      <c r="F43" s="33" t="s">
        <v>414</v>
      </c>
      <c r="I43" s="66">
        <f>(B26+B27+B28+B31)/B32</f>
        <v>0.11141253009935434</v>
      </c>
    </row>
    <row r="44" spans="1:9" s="34" customFormat="1" ht="18" customHeight="1">
      <c r="A44" s="65" t="s">
        <v>124</v>
      </c>
      <c r="B44" s="46">
        <f t="shared" si="1"/>
        <v>-61946.350000000006</v>
      </c>
      <c r="C44" s="45">
        <f>-'[1]2111'!$D$7</f>
        <v>-52470.44</v>
      </c>
      <c r="D44" s="45">
        <f>-'[2]2111'!$D$7</f>
        <v>-9475.91</v>
      </c>
      <c r="E44" s="33"/>
      <c r="F44" s="34" t="s">
        <v>415</v>
      </c>
      <c r="I44" s="66">
        <f>B33/B47</f>
        <v>0.39924800397347837</v>
      </c>
    </row>
    <row r="45" spans="1:9" s="34" customFormat="1" ht="18" customHeight="1">
      <c r="A45" s="65" t="s">
        <v>125</v>
      </c>
      <c r="B45" s="46">
        <f t="shared" si="1"/>
        <v>0</v>
      </c>
      <c r="C45" s="45"/>
      <c r="D45" s="45"/>
      <c r="E45" s="33"/>
      <c r="F45" s="34" t="s">
        <v>416</v>
      </c>
      <c r="I45" s="66">
        <f>B35/B47</f>
        <v>0.09765992513034152</v>
      </c>
    </row>
    <row r="46" spans="1:9" s="34" customFormat="1" ht="18" customHeight="1">
      <c r="A46" s="33" t="s">
        <v>369</v>
      </c>
      <c r="B46" s="46">
        <f t="shared" si="1"/>
        <v>-916662.15</v>
      </c>
      <c r="C46" s="45">
        <f>-'[1]2111'!$D$13</f>
        <v>-401158.02</v>
      </c>
      <c r="D46" s="45">
        <f>-'[2]2111'!$D$13</f>
        <v>-515504.13</v>
      </c>
      <c r="E46" s="33"/>
      <c r="F46" s="34" t="s">
        <v>417</v>
      </c>
      <c r="I46" s="66">
        <f>B42/B47</f>
        <v>0.36787211549639437</v>
      </c>
    </row>
    <row r="47" spans="1:9" s="34" customFormat="1" ht="18" customHeight="1">
      <c r="A47" s="70" t="s">
        <v>370</v>
      </c>
      <c r="B47" s="200">
        <f t="shared" si="1"/>
        <v>-22154050.57</v>
      </c>
      <c r="C47" s="45">
        <f>C33+C34+C35+C40+C41+C42+C46</f>
        <v>-15902595.77</v>
      </c>
      <c r="D47" s="45">
        <f>D33+D34+D35+D40+D41+D42+D46</f>
        <v>-6251454.8</v>
      </c>
      <c r="E47" s="33"/>
      <c r="F47" s="34" t="s">
        <v>418</v>
      </c>
      <c r="I47" s="66">
        <f>IF(B40&lt;0,B40/B47,"No aplica")</f>
        <v>0.09384322625025045</v>
      </c>
    </row>
    <row r="48" spans="1:9" s="34" customFormat="1" ht="18" customHeight="1" thickBot="1">
      <c r="A48" s="73" t="s">
        <v>126</v>
      </c>
      <c r="B48" s="204">
        <f t="shared" si="1"/>
        <v>-3458911.1800000006</v>
      </c>
      <c r="C48" s="45">
        <f>C32+C47</f>
        <v>-3473924.01</v>
      </c>
      <c r="D48" s="45">
        <f>D32+D47</f>
        <v>15012.829999999143</v>
      </c>
      <c r="E48" s="33"/>
      <c r="F48" s="71" t="s">
        <v>419</v>
      </c>
      <c r="G48" s="71"/>
      <c r="H48" s="71"/>
      <c r="I48" s="72">
        <f>(B41+B42+B46+B34)/B47</f>
        <v>0.40924884464592975</v>
      </c>
    </row>
    <row r="49" spans="1:6" s="34" customFormat="1" ht="18" customHeight="1">
      <c r="A49" s="33" t="s">
        <v>371</v>
      </c>
      <c r="B49" s="46">
        <f t="shared" si="1"/>
        <v>20715.34</v>
      </c>
      <c r="C49" s="45">
        <f>'[1]2111'!$L$19+'[1]2111'!$L$18+'[1]2111'!$L$20+'[1]2111'!$L$26</f>
        <v>20715.34</v>
      </c>
      <c r="D49" s="45">
        <f>'[2]2111'!$L$19+'[2]2111'!$L$18+'[2]2111'!$L$20+'[2]2111'!$L$26</f>
        <v>0</v>
      </c>
      <c r="E49" s="33"/>
      <c r="F49" s="33"/>
    </row>
    <row r="50" spans="1:6" s="34" customFormat="1" ht="18" customHeight="1">
      <c r="A50" s="65" t="s">
        <v>127</v>
      </c>
      <c r="B50" s="46">
        <f t="shared" si="1"/>
        <v>0</v>
      </c>
      <c r="C50" s="45" t="str">
        <f>'[1]2111'!$L$19</f>
        <v>0,00</v>
      </c>
      <c r="D50" s="45" t="str">
        <f>'[2]2111'!$L$19</f>
        <v>0,00</v>
      </c>
      <c r="E50" s="33"/>
      <c r="F50" s="34" t="s">
        <v>26</v>
      </c>
    </row>
    <row r="51" spans="1:6" s="34" customFormat="1" ht="18" customHeight="1">
      <c r="A51" s="65" t="s">
        <v>128</v>
      </c>
      <c r="B51" s="46">
        <f t="shared" si="1"/>
        <v>0</v>
      </c>
      <c r="C51" s="45" t="str">
        <f>'[1]2111'!$L$18</f>
        <v>0,00</v>
      </c>
      <c r="D51" s="45" t="str">
        <f>'[2]2111'!$L$18</f>
        <v>0,00</v>
      </c>
      <c r="E51" s="33"/>
      <c r="F51" s="34" t="s">
        <v>27</v>
      </c>
    </row>
    <row r="52" spans="1:6" s="34" customFormat="1" ht="18" customHeight="1">
      <c r="A52" s="65" t="s">
        <v>129</v>
      </c>
      <c r="B52" s="46">
        <f t="shared" si="1"/>
        <v>9165.58</v>
      </c>
      <c r="C52" s="45" t="str">
        <f>'[1]2111'!$L$20</f>
        <v>9.165,58</v>
      </c>
      <c r="D52" s="45" t="str">
        <f>'[2]2111'!$L$20</f>
        <v>0,00</v>
      </c>
      <c r="E52" s="33"/>
      <c r="F52" s="33"/>
    </row>
    <row r="53" spans="1:6" s="34" customFormat="1" ht="18" customHeight="1">
      <c r="A53" s="65" t="s">
        <v>130</v>
      </c>
      <c r="B53" s="46">
        <f t="shared" si="1"/>
        <v>11549.76</v>
      </c>
      <c r="C53" s="45" t="str">
        <f>'[1]2111'!$L$26</f>
        <v>11.549,76</v>
      </c>
      <c r="D53" s="45" t="str">
        <f>'[2]2111'!$L$26</f>
        <v>0,00</v>
      </c>
      <c r="E53" s="33"/>
      <c r="F53" s="33"/>
    </row>
    <row r="54" spans="1:6" s="34" customFormat="1" ht="18" customHeight="1">
      <c r="A54" s="33" t="s">
        <v>372</v>
      </c>
      <c r="B54" s="46">
        <f t="shared" si="1"/>
        <v>-144382.41</v>
      </c>
      <c r="C54" s="45">
        <f>-'[1]2111'!$D$17-'[1]2111'!$D$26</f>
        <v>-144382.41</v>
      </c>
      <c r="D54" s="45">
        <f>-'[2]2111'!$D$17-'[2]2111'!$D$26</f>
        <v>0</v>
      </c>
      <c r="E54" s="33"/>
      <c r="F54" s="33"/>
    </row>
    <row r="55" spans="1:6" s="34" customFormat="1" ht="18" customHeight="1">
      <c r="A55" s="65" t="s">
        <v>131</v>
      </c>
      <c r="B55" s="46">
        <f t="shared" si="1"/>
        <v>0</v>
      </c>
      <c r="C55" s="45">
        <f>-'[1]2111'!$D$19</f>
        <v>0</v>
      </c>
      <c r="D55" s="45">
        <f>-'[2]2111'!$D$19</f>
        <v>0</v>
      </c>
      <c r="E55" s="33"/>
      <c r="F55" s="33"/>
    </row>
    <row r="56" spans="1:6" s="34" customFormat="1" ht="18" customHeight="1">
      <c r="A56" s="65" t="s">
        <v>132</v>
      </c>
      <c r="B56" s="46">
        <f t="shared" si="1"/>
        <v>0</v>
      </c>
      <c r="C56" s="45">
        <f>-'[1]2111'!$D$18</f>
        <v>0</v>
      </c>
      <c r="D56" s="45">
        <f>-'[2]2111'!$D$18</f>
        <v>0</v>
      </c>
      <c r="E56" s="33"/>
      <c r="F56" s="33"/>
    </row>
    <row r="57" spans="1:6" s="34" customFormat="1" ht="18" customHeight="1">
      <c r="A57" s="65" t="s">
        <v>133</v>
      </c>
      <c r="B57" s="46">
        <f t="shared" si="1"/>
        <v>-30525.87</v>
      </c>
      <c r="C57" s="45">
        <f>-'[1]2111'!$D$20</f>
        <v>-30525.87</v>
      </c>
      <c r="D57" s="45">
        <f>-'[2]2111'!$D$20</f>
        <v>0</v>
      </c>
      <c r="E57" s="33"/>
      <c r="F57" s="33"/>
    </row>
    <row r="58" spans="1:5" s="34" customFormat="1" ht="18" customHeight="1">
      <c r="A58" s="65" t="s">
        <v>134</v>
      </c>
      <c r="B58" s="46">
        <f t="shared" si="1"/>
        <v>-113856.54</v>
      </c>
      <c r="C58" s="45">
        <f>-'[1]2111'!$D$26</f>
        <v>-113856.54</v>
      </c>
      <c r="D58" s="45">
        <f>-'[2]2111'!$D$26</f>
        <v>0</v>
      </c>
      <c r="E58" s="33"/>
    </row>
    <row r="59" spans="1:5" s="34" customFormat="1" ht="18" customHeight="1">
      <c r="A59" s="73" t="s">
        <v>373</v>
      </c>
      <c r="B59" s="204">
        <f t="shared" si="1"/>
        <v>-3582578.250000001</v>
      </c>
      <c r="C59" s="45">
        <f>C48+C49+C54</f>
        <v>-3597591.08</v>
      </c>
      <c r="D59" s="45">
        <f>D48+D49+D54</f>
        <v>15012.829999999143</v>
      </c>
      <c r="E59" s="33"/>
    </row>
    <row r="60" spans="1:5" s="34" customFormat="1" ht="18" customHeight="1">
      <c r="A60" s="33" t="s">
        <v>374</v>
      </c>
      <c r="B60" s="46">
        <f t="shared" si="1"/>
        <v>0</v>
      </c>
      <c r="C60" s="45">
        <f>+'[1]2111'!$D$23-'[1]2111'!$L$23</f>
        <v>0</v>
      </c>
      <c r="D60" s="45">
        <f>+'[2]2111'!$D$23-'[2]2111'!$L$23</f>
        <v>0</v>
      </c>
      <c r="E60" s="33"/>
    </row>
    <row r="61" spans="1:5" s="34" customFormat="1" ht="18" customHeight="1">
      <c r="A61" s="33" t="s">
        <v>375</v>
      </c>
      <c r="B61" s="46">
        <f t="shared" si="1"/>
        <v>170286.09</v>
      </c>
      <c r="C61" s="45" t="str">
        <f>'[1]2111'!$L$5</f>
        <v>120.577,23</v>
      </c>
      <c r="D61" s="45" t="str">
        <f>'[2]2111'!$L$5</f>
        <v>49.708,86</v>
      </c>
      <c r="E61" s="33"/>
    </row>
    <row r="62" spans="1:5" s="34" customFormat="1" ht="18" customHeight="1">
      <c r="A62" s="33" t="s">
        <v>376</v>
      </c>
      <c r="B62" s="46">
        <f t="shared" si="1"/>
        <v>-110663.56999999999</v>
      </c>
      <c r="C62" s="45">
        <f>-'[1]2111'!$D$6</f>
        <v>-106978.93</v>
      </c>
      <c r="D62" s="45">
        <f>-'[2]2111'!$D$6</f>
        <v>-3684.64</v>
      </c>
      <c r="E62" s="33"/>
    </row>
    <row r="63" spans="1:5" s="34" customFormat="1" ht="18" customHeight="1">
      <c r="A63" s="33" t="s">
        <v>377</v>
      </c>
      <c r="B63" s="46">
        <f t="shared" si="1"/>
        <v>0</v>
      </c>
      <c r="C63" s="45"/>
      <c r="D63" s="45"/>
      <c r="E63" s="33"/>
    </row>
    <row r="64" spans="1:5" s="34" customFormat="1" ht="18" customHeight="1">
      <c r="A64" s="33" t="s">
        <v>378</v>
      </c>
      <c r="B64" s="46">
        <f t="shared" si="1"/>
        <v>0</v>
      </c>
      <c r="C64" s="45"/>
      <c r="D64" s="45"/>
      <c r="E64" s="33"/>
    </row>
    <row r="65" spans="1:5" s="34" customFormat="1" ht="18" customHeight="1">
      <c r="A65" s="73" t="s">
        <v>379</v>
      </c>
      <c r="B65" s="204">
        <f t="shared" si="1"/>
        <v>59622.520000000004</v>
      </c>
      <c r="C65" s="45">
        <f>C60+C61+C62+C63+C64</f>
        <v>13598.300000000003</v>
      </c>
      <c r="D65" s="45">
        <f>D60+D61+D62+D63+D64</f>
        <v>46024.22</v>
      </c>
      <c r="E65" s="3"/>
    </row>
    <row r="66" spans="1:9" ht="18" customHeight="1">
      <c r="A66" s="73" t="s">
        <v>135</v>
      </c>
      <c r="B66" s="204">
        <f>C66+D66</f>
        <v>-3522955.730000001</v>
      </c>
      <c r="C66" s="45">
        <f>C59+C65</f>
        <v>-3583992.7800000003</v>
      </c>
      <c r="D66" s="45">
        <f>D59+D65</f>
        <v>61037.049999999144</v>
      </c>
      <c r="F66" s="34"/>
      <c r="G66" s="34"/>
      <c r="H66" s="34"/>
      <c r="I66" s="34"/>
    </row>
    <row r="67" spans="1:9" ht="18" customHeight="1">
      <c r="A67" s="63"/>
      <c r="B67" s="201"/>
      <c r="C67" s="45"/>
      <c r="D67" s="45"/>
      <c r="F67" s="34"/>
      <c r="G67" s="34"/>
      <c r="H67" s="34"/>
      <c r="I67" s="34"/>
    </row>
    <row r="68" spans="1:9" ht="18" customHeight="1">
      <c r="A68" s="58" t="s">
        <v>28</v>
      </c>
      <c r="B68" s="205"/>
      <c r="C68" s="45"/>
      <c r="D68" s="45"/>
      <c r="F68" s="34"/>
      <c r="G68" s="34"/>
      <c r="H68" s="34"/>
      <c r="I68" s="34"/>
    </row>
    <row r="69" spans="1:9" ht="18" customHeight="1">
      <c r="A69" s="33" t="s">
        <v>380</v>
      </c>
      <c r="B69" s="46">
        <f>C69+D69</f>
        <v>0</v>
      </c>
      <c r="C69" s="45"/>
      <c r="D69" s="45"/>
      <c r="F69" s="34"/>
      <c r="G69" s="34"/>
      <c r="H69" s="34"/>
      <c r="I69" s="34"/>
    </row>
    <row r="70" spans="1:9" ht="18" customHeight="1">
      <c r="A70" s="73" t="s">
        <v>381</v>
      </c>
      <c r="B70" s="204">
        <f>C70+D70</f>
        <v>-3522955.730000001</v>
      </c>
      <c r="C70" s="74">
        <f>C66+C69</f>
        <v>-3583992.7800000003</v>
      </c>
      <c r="D70" s="74">
        <f>D66+D69</f>
        <v>61037.049999999144</v>
      </c>
      <c r="E70" s="26"/>
      <c r="F70" s="34"/>
      <c r="G70" s="34"/>
      <c r="H70" s="34"/>
      <c r="I70" s="34"/>
    </row>
    <row r="71" spans="1:9" ht="18" customHeight="1">
      <c r="A71" s="63"/>
      <c r="B71" s="35"/>
      <c r="C71" s="35"/>
      <c r="D71" s="35"/>
      <c r="F71" s="34"/>
      <c r="G71" s="34"/>
      <c r="H71" s="34"/>
      <c r="I71" s="34"/>
    </row>
    <row r="72" spans="1:4" ht="18" customHeight="1">
      <c r="A72" s="63"/>
      <c r="B72" s="35"/>
      <c r="C72" s="35"/>
      <c r="D72" s="35"/>
    </row>
    <row r="73" spans="1:4" ht="18" customHeight="1">
      <c r="A73" s="34" t="s">
        <v>421</v>
      </c>
      <c r="C73" s="35"/>
      <c r="D73" s="35"/>
    </row>
    <row r="74" ht="18" customHeight="1">
      <c r="A74" s="34" t="s">
        <v>420</v>
      </c>
    </row>
    <row r="75" ht="18" customHeight="1">
      <c r="A75" s="34"/>
    </row>
    <row r="76" spans="1:8" ht="18" customHeight="1">
      <c r="A76" s="63" t="s">
        <v>425</v>
      </c>
      <c r="F76" s="26"/>
      <c r="H76" s="26"/>
    </row>
    <row r="77" ht="18" customHeight="1">
      <c r="A77" s="33"/>
    </row>
    <row r="78" ht="18" customHeight="1"/>
    <row r="79" ht="18" customHeight="1"/>
    <row r="80" ht="18" customHeight="1"/>
    <row r="85" ht="18" customHeight="1"/>
    <row r="86" ht="18" customHeight="1"/>
    <row r="88" ht="18" customHeight="1"/>
    <row r="89" ht="18" customHeight="1"/>
  </sheetData>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184"/>
  <sheetViews>
    <sheetView zoomScale="75" zoomScaleNormal="75" workbookViewId="0" topLeftCell="A1">
      <selection activeCell="B1" sqref="B1"/>
    </sheetView>
  </sheetViews>
  <sheetFormatPr defaultColWidth="11.421875" defaultRowHeight="12.75"/>
  <cols>
    <col min="1" max="1" width="3.421875" style="64"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5</v>
      </c>
      <c r="M1" s="8">
        <f>Balance!I1</f>
        <v>1995</v>
      </c>
      <c r="N1" s="48"/>
      <c r="O1" s="48"/>
      <c r="P1" s="48"/>
      <c r="Q1" s="48"/>
      <c r="R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row>
    <row r="2" spans="1:214" s="2" customFormat="1" ht="12.95" customHeight="1" thickBot="1">
      <c r="A2" s="5"/>
      <c r="B2" s="6"/>
      <c r="C2" s="9"/>
      <c r="D2" s="9"/>
      <c r="E2" s="9"/>
      <c r="F2" s="9"/>
      <c r="G2" s="9"/>
      <c r="H2" s="9"/>
      <c r="I2" s="9"/>
      <c r="J2" s="9"/>
      <c r="K2" s="6"/>
      <c r="L2" s="7"/>
      <c r="M2" s="92"/>
      <c r="N2" s="48"/>
      <c r="O2" s="48"/>
      <c r="P2" s="48"/>
      <c r="Q2" s="48"/>
      <c r="R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row>
    <row r="3" spans="1:214" s="2" customFormat="1" ht="33" customHeight="1">
      <c r="A3" s="75" t="str">
        <f>"                                            "&amp;"ENTIDADES AUTÓNOMAS COMERCIALES"</f>
        <v xml:space="preserve">                                            ENTIDADES AUTÓNOMAS COMERCIALES</v>
      </c>
      <c r="B3" s="10"/>
      <c r="C3" s="10"/>
      <c r="D3" s="10"/>
      <c r="E3" s="10"/>
      <c r="F3" s="10"/>
      <c r="G3" s="10"/>
      <c r="H3" s="10"/>
      <c r="I3" s="10"/>
      <c r="J3" s="11"/>
      <c r="K3" s="11"/>
      <c r="L3" s="12"/>
      <c r="M3" s="13"/>
      <c r="N3" s="15"/>
      <c r="O3" s="15"/>
      <c r="P3" s="15"/>
      <c r="Q3" s="15"/>
      <c r="R3" s="15"/>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row>
    <row r="4" spans="1:214" s="2" customFormat="1" ht="20.1" customHeight="1">
      <c r="A4" s="14" t="s">
        <v>29</v>
      </c>
      <c r="B4" s="15"/>
      <c r="C4" s="15"/>
      <c r="D4" s="15"/>
      <c r="E4" s="15"/>
      <c r="F4" s="15"/>
      <c r="G4" s="15"/>
      <c r="H4" s="15"/>
      <c r="I4" s="15"/>
      <c r="J4" s="14"/>
      <c r="K4" s="14"/>
      <c r="L4" s="16"/>
      <c r="M4" s="17"/>
      <c r="N4" s="15"/>
      <c r="O4" s="15"/>
      <c r="P4" s="15"/>
      <c r="Q4" s="15"/>
      <c r="R4" s="15"/>
      <c r="AC4" s="52"/>
      <c r="AD4" s="52"/>
      <c r="AE4" s="52"/>
      <c r="AF4" s="52"/>
      <c r="AG4" s="52"/>
      <c r="AH4" s="52"/>
      <c r="AI4" s="52"/>
      <c r="AJ4" s="52"/>
      <c r="AK4" s="52"/>
      <c r="AL4" s="52"/>
      <c r="AM4" s="52"/>
      <c r="AN4" s="52"/>
      <c r="AO4" s="52"/>
      <c r="AP4" s="52"/>
      <c r="AQ4" s="52"/>
      <c r="AR4" s="52"/>
      <c r="AS4" s="52"/>
      <c r="AT4" s="52"/>
      <c r="AU4" s="52"/>
      <c r="AV4" s="52"/>
      <c r="AW4" s="52"/>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row>
    <row r="5" spans="1:214" s="2" customFormat="1" ht="18" customHeight="1" thickBot="1">
      <c r="A5" s="18"/>
      <c r="B5" s="19"/>
      <c r="C5" s="19"/>
      <c r="D5" s="19"/>
      <c r="E5" s="19"/>
      <c r="F5" s="19"/>
      <c r="G5" s="19"/>
      <c r="H5" s="19"/>
      <c r="I5" s="19"/>
      <c r="J5" s="19"/>
      <c r="K5" s="19"/>
      <c r="L5" s="76" t="str">
        <f>"Población a 01/01/"&amp;M1</f>
        <v>Población a 01/01/1995</v>
      </c>
      <c r="M5" s="78">
        <f>Balance!H5</f>
        <v>3969401</v>
      </c>
      <c r="N5" s="21"/>
      <c r="O5" s="21"/>
      <c r="P5" s="21"/>
      <c r="Q5" s="21"/>
      <c r="R5" s="21"/>
      <c r="AC5" s="52"/>
      <c r="AD5" s="52"/>
      <c r="AE5" s="52"/>
      <c r="AF5" s="52"/>
      <c r="AG5" s="52"/>
      <c r="AH5" s="52"/>
      <c r="AI5" s="52"/>
      <c r="AJ5" s="52"/>
      <c r="AK5" s="52"/>
      <c r="AL5" s="52"/>
      <c r="AM5" s="52"/>
      <c r="AN5" s="52"/>
      <c r="AO5" s="52"/>
      <c r="AP5" s="52"/>
      <c r="AQ5" s="52"/>
      <c r="AR5" s="52"/>
      <c r="AS5" s="52"/>
      <c r="AT5" s="52"/>
      <c r="AU5" s="52"/>
      <c r="AV5" s="52"/>
      <c r="AW5" s="52"/>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row>
    <row r="6" spans="1:214" s="2" customFormat="1" ht="12.95" customHeight="1">
      <c r="A6" s="96"/>
      <c r="B6" s="97"/>
      <c r="D6" s="97"/>
      <c r="E6" s="97"/>
      <c r="F6" s="97"/>
      <c r="G6" s="97"/>
      <c r="H6" s="97"/>
      <c r="I6" s="97"/>
      <c r="J6" s="98"/>
      <c r="K6" s="98"/>
      <c r="L6" s="98"/>
      <c r="M6" s="99"/>
      <c r="N6" s="52"/>
      <c r="O6" s="52"/>
      <c r="P6" s="52"/>
      <c r="Q6" s="52"/>
      <c r="R6" s="52"/>
      <c r="AC6" s="52"/>
      <c r="AD6" s="52"/>
      <c r="AE6" s="52"/>
      <c r="AF6" s="52"/>
      <c r="AG6" s="52"/>
      <c r="AH6" s="52"/>
      <c r="AI6" s="52"/>
      <c r="AJ6" s="52"/>
      <c r="AK6" s="52"/>
      <c r="AL6" s="52"/>
      <c r="AM6" s="52"/>
      <c r="AN6" s="52"/>
      <c r="AO6" s="52"/>
      <c r="AP6" s="52"/>
      <c r="AQ6" s="52"/>
      <c r="AR6" s="52"/>
      <c r="AS6" s="52"/>
      <c r="AT6" s="52"/>
      <c r="AU6" s="52"/>
      <c r="AV6" s="52"/>
      <c r="AW6" s="52"/>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row>
    <row r="7" spans="1:214" s="2" customFormat="1" ht="12.95" customHeight="1">
      <c r="A7" s="100"/>
      <c r="B7" s="100"/>
      <c r="C7" s="100"/>
      <c r="D7" s="100"/>
      <c r="E7" s="100"/>
      <c r="F7" s="101"/>
      <c r="G7" s="101"/>
      <c r="H7" s="100"/>
      <c r="I7" s="100"/>
      <c r="J7" s="100"/>
      <c r="K7" s="100"/>
      <c r="L7" s="100"/>
      <c r="M7" s="100"/>
      <c r="N7" s="48"/>
      <c r="O7" s="48"/>
      <c r="P7" s="48"/>
      <c r="Q7" s="48"/>
      <c r="R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row>
    <row r="8" spans="1:214" s="2" customFormat="1" ht="21" customHeight="1">
      <c r="A8" s="102" t="s">
        <v>222</v>
      </c>
      <c r="B8" s="100"/>
      <c r="C8" s="100"/>
      <c r="D8" s="100"/>
      <c r="E8" s="100"/>
      <c r="F8" s="101"/>
      <c r="G8" s="101"/>
      <c r="H8" s="100"/>
      <c r="I8" s="100"/>
      <c r="J8" s="100"/>
      <c r="K8" s="100"/>
      <c r="L8" s="100"/>
      <c r="M8" s="100"/>
      <c r="N8" s="48"/>
      <c r="O8" s="48"/>
      <c r="P8" s="48"/>
      <c r="Q8" s="48"/>
      <c r="R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row>
    <row r="9" spans="1:214" s="2" customFormat="1" ht="18" customHeight="1">
      <c r="A9" s="24"/>
      <c r="B9" s="100"/>
      <c r="C9" s="100"/>
      <c r="D9" s="100"/>
      <c r="E9" s="100"/>
      <c r="F9" s="101"/>
      <c r="G9" s="101"/>
      <c r="H9" s="100"/>
      <c r="I9" s="100"/>
      <c r="J9" s="100"/>
      <c r="K9" s="100"/>
      <c r="L9" s="100"/>
      <c r="M9" s="100"/>
      <c r="N9" s="48"/>
      <c r="O9" s="48"/>
      <c r="P9" s="48"/>
      <c r="Q9" s="48"/>
      <c r="R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row>
    <row r="10" spans="1:214" s="2" customFormat="1" ht="12.95" customHeight="1">
      <c r="A10" s="116"/>
      <c r="B10" s="100"/>
      <c r="C10" s="100"/>
      <c r="D10" s="100"/>
      <c r="E10" s="100"/>
      <c r="F10" s="101"/>
      <c r="G10" s="101"/>
      <c r="H10" s="100"/>
      <c r="I10" s="100"/>
      <c r="J10" s="100"/>
      <c r="K10" s="100"/>
      <c r="L10" s="100"/>
      <c r="M10" s="100"/>
      <c r="N10" s="48"/>
      <c r="O10" s="48"/>
      <c r="P10" s="48"/>
      <c r="Q10" s="48"/>
      <c r="R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row>
    <row r="11" spans="1:214" s="2" customFormat="1" ht="18" customHeight="1" thickBot="1">
      <c r="A11" s="48" t="s">
        <v>6</v>
      </c>
      <c r="B11" s="100"/>
      <c r="C11" s="100"/>
      <c r="D11" s="100"/>
      <c r="E11" s="100"/>
      <c r="F11" s="101"/>
      <c r="G11" s="101"/>
      <c r="H11" s="100"/>
      <c r="I11" s="100"/>
      <c r="J11" s="100"/>
      <c r="K11" s="100"/>
      <c r="L11" s="100"/>
      <c r="M11" s="193">
        <f>M1</f>
        <v>1995</v>
      </c>
      <c r="N11" s="48"/>
      <c r="O11" s="48"/>
      <c r="P11" s="48"/>
      <c r="Q11" s="48"/>
      <c r="R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row>
    <row r="12" spans="1:214" s="2" customFormat="1" ht="33" customHeight="1">
      <c r="A12" s="234" t="s">
        <v>361</v>
      </c>
      <c r="B12" s="234"/>
      <c r="C12" s="117"/>
      <c r="D12" s="118"/>
      <c r="E12" s="118"/>
      <c r="F12" s="233"/>
      <c r="G12" s="233"/>
      <c r="H12" s="233"/>
      <c r="I12" s="233"/>
      <c r="J12" s="233"/>
      <c r="K12" s="233"/>
      <c r="L12" s="233"/>
      <c r="M12" s="233"/>
      <c r="N12" s="48"/>
      <c r="O12" s="48"/>
      <c r="P12" s="48"/>
      <c r="Q12" s="48"/>
      <c r="R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row>
    <row r="13" spans="1:214" s="2" customFormat="1" ht="18" customHeight="1">
      <c r="A13" s="119"/>
      <c r="B13" s="119"/>
      <c r="C13" s="235" t="s">
        <v>136</v>
      </c>
      <c r="D13" s="236"/>
      <c r="E13" s="237"/>
      <c r="F13" s="235" t="s">
        <v>137</v>
      </c>
      <c r="G13" s="236"/>
      <c r="H13" s="236"/>
      <c r="I13" s="236"/>
      <c r="J13" s="236"/>
      <c r="K13" s="236"/>
      <c r="L13" s="236"/>
      <c r="M13" s="237"/>
      <c r="N13" s="48"/>
      <c r="O13" s="48"/>
      <c r="P13" s="48"/>
      <c r="Q13" s="48"/>
      <c r="R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row>
    <row r="14" spans="6:214" s="2" customFormat="1" ht="18" customHeight="1">
      <c r="F14" s="135" t="s">
        <v>388</v>
      </c>
      <c r="G14" s="135" t="s">
        <v>389</v>
      </c>
      <c r="L14" s="135" t="s">
        <v>389</v>
      </c>
      <c r="M14" s="135" t="s">
        <v>390</v>
      </c>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row>
    <row r="15" spans="1:214" s="2" customFormat="1" ht="18" customHeight="1">
      <c r="A15" s="191" t="s">
        <v>138</v>
      </c>
      <c r="B15" s="191"/>
      <c r="C15" s="120" t="s">
        <v>139</v>
      </c>
      <c r="D15" s="120" t="s">
        <v>140</v>
      </c>
      <c r="E15" s="120" t="s">
        <v>141</v>
      </c>
      <c r="F15" s="120" t="s">
        <v>391</v>
      </c>
      <c r="G15" s="120" t="s">
        <v>392</v>
      </c>
      <c r="H15" s="120" t="s">
        <v>142</v>
      </c>
      <c r="I15" s="120" t="s">
        <v>143</v>
      </c>
      <c r="J15" s="120" t="s">
        <v>144</v>
      </c>
      <c r="K15" s="120" t="s">
        <v>145</v>
      </c>
      <c r="L15" s="120" t="s">
        <v>146</v>
      </c>
      <c r="M15" s="120" t="s">
        <v>393</v>
      </c>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row>
    <row r="16" spans="1:132" s="2" customFormat="1" ht="18" customHeight="1">
      <c r="A16" s="121" t="s">
        <v>147</v>
      </c>
      <c r="B16" s="33" t="s">
        <v>148</v>
      </c>
      <c r="C16" s="206">
        <f aca="true" t="shared" si="0" ref="C16:G23">C92+C122</f>
        <v>7836644.91</v>
      </c>
      <c r="D16" s="206">
        <f t="shared" si="0"/>
        <v>390560.82999999996</v>
      </c>
      <c r="E16" s="206">
        <f t="shared" si="0"/>
        <v>8227205.74</v>
      </c>
      <c r="F16" s="206">
        <f t="shared" si="0"/>
        <v>7908002.62</v>
      </c>
      <c r="G16" s="206">
        <f t="shared" si="0"/>
        <v>7908002.02</v>
      </c>
      <c r="H16" s="124">
        <f aca="true" t="shared" si="1" ref="H16:H24">IF($G$24=0,"    --",G16/$G$24*100)</f>
        <v>40.177075180649396</v>
      </c>
      <c r="I16" s="124">
        <f aca="true" t="shared" si="2" ref="I16:I24">IF(G16=0,"    --",IF(E16=0,"    --",G16/E16*100))</f>
        <v>96.12014418883365</v>
      </c>
      <c r="J16" s="206">
        <f aca="true" t="shared" si="3" ref="J16:J23">I92+I122</f>
        <v>7769216.039999999</v>
      </c>
      <c r="K16" s="124">
        <f aca="true" t="shared" si="4" ref="K16:K24">IF(G16=0,"    --",J16/G16*100)</f>
        <v>98.24499311394965</v>
      </c>
      <c r="L16" s="206">
        <f aca="true" t="shared" si="5" ref="L16:L23">J92+J122</f>
        <v>138785.97</v>
      </c>
      <c r="M16" s="206">
        <f aca="true" t="shared" si="6" ref="M16:M23">H92+H122</f>
        <v>319203.72000000003</v>
      </c>
      <c r="N16" s="48"/>
      <c r="O16" s="48"/>
      <c r="P16" s="48"/>
      <c r="Q16" s="48"/>
      <c r="R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row>
    <row r="17" spans="1:132" s="2" customFormat="1" ht="18" customHeight="1">
      <c r="A17" s="121" t="s">
        <v>149</v>
      </c>
      <c r="B17" s="33" t="s">
        <v>150</v>
      </c>
      <c r="C17" s="206">
        <f t="shared" si="0"/>
        <v>5400706.79</v>
      </c>
      <c r="D17" s="206">
        <f t="shared" si="0"/>
        <v>1351000.73</v>
      </c>
      <c r="E17" s="206">
        <f t="shared" si="0"/>
        <v>6751707.52</v>
      </c>
      <c r="F17" s="206">
        <f t="shared" si="0"/>
        <v>6335171.28</v>
      </c>
      <c r="G17" s="206">
        <f t="shared" si="0"/>
        <v>6206962.49</v>
      </c>
      <c r="H17" s="124">
        <f t="shared" si="1"/>
        <v>31.53484255232914</v>
      </c>
      <c r="I17" s="124">
        <f t="shared" si="2"/>
        <v>91.9317442530449</v>
      </c>
      <c r="J17" s="206">
        <f t="shared" si="3"/>
        <v>5520597.340000001</v>
      </c>
      <c r="K17" s="124">
        <f t="shared" si="4"/>
        <v>88.94201227885945</v>
      </c>
      <c r="L17" s="206">
        <f t="shared" si="5"/>
        <v>686365.14</v>
      </c>
      <c r="M17" s="206">
        <f t="shared" si="6"/>
        <v>544745.03</v>
      </c>
      <c r="N17" s="48"/>
      <c r="O17" s="48"/>
      <c r="P17" s="48"/>
      <c r="Q17" s="48"/>
      <c r="R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row>
    <row r="18" spans="1:132" s="2" customFormat="1" ht="18" customHeight="1">
      <c r="A18" s="121" t="s">
        <v>151</v>
      </c>
      <c r="B18" s="33" t="s">
        <v>152</v>
      </c>
      <c r="C18" s="206">
        <f t="shared" si="0"/>
        <v>48080.97</v>
      </c>
      <c r="D18" s="206">
        <f t="shared" si="0"/>
        <v>78131.57</v>
      </c>
      <c r="E18" s="206">
        <f t="shared" si="0"/>
        <v>126212.54</v>
      </c>
      <c r="F18" s="206">
        <f t="shared" si="0"/>
        <v>109874.99</v>
      </c>
      <c r="G18" s="206">
        <f t="shared" si="0"/>
        <v>109874.99</v>
      </c>
      <c r="H18" s="124">
        <f t="shared" si="1"/>
        <v>0.5582264297022904</v>
      </c>
      <c r="I18" s="124">
        <f t="shared" si="2"/>
        <v>87.05552554445066</v>
      </c>
      <c r="J18" s="206">
        <f t="shared" si="3"/>
        <v>87379.37</v>
      </c>
      <c r="K18" s="124">
        <f t="shared" si="4"/>
        <v>79.5261687850893</v>
      </c>
      <c r="L18" s="206">
        <f t="shared" si="5"/>
        <v>22495.62</v>
      </c>
      <c r="M18" s="206">
        <f t="shared" si="6"/>
        <v>16337.55</v>
      </c>
      <c r="N18" s="48"/>
      <c r="O18" s="48"/>
      <c r="P18" s="48"/>
      <c r="Q18" s="48"/>
      <c r="R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row>
    <row r="19" spans="1:132" s="2" customFormat="1" ht="18" customHeight="1">
      <c r="A19" s="121" t="s">
        <v>153</v>
      </c>
      <c r="B19" s="33" t="s">
        <v>154</v>
      </c>
      <c r="C19" s="206">
        <f t="shared" si="0"/>
        <v>1857127.4</v>
      </c>
      <c r="D19" s="206">
        <f t="shared" si="0"/>
        <v>630798.63</v>
      </c>
      <c r="E19" s="206">
        <f t="shared" si="0"/>
        <v>2487926.0300000003</v>
      </c>
      <c r="F19" s="206">
        <f t="shared" si="0"/>
        <v>2350679.41</v>
      </c>
      <c r="G19" s="206">
        <f t="shared" si="0"/>
        <v>2019320.01</v>
      </c>
      <c r="H19" s="124">
        <f t="shared" si="1"/>
        <v>10.259275560422743</v>
      </c>
      <c r="I19" s="124">
        <f t="shared" si="2"/>
        <v>81.16479290985994</v>
      </c>
      <c r="J19" s="206">
        <f t="shared" si="3"/>
        <v>1592879.0699999998</v>
      </c>
      <c r="K19" s="124">
        <f t="shared" si="4"/>
        <v>78.88195343540421</v>
      </c>
      <c r="L19" s="206">
        <f t="shared" si="5"/>
        <v>426440.94</v>
      </c>
      <c r="M19" s="206">
        <f t="shared" si="6"/>
        <v>468606.01</v>
      </c>
      <c r="N19" s="48"/>
      <c r="O19" s="48"/>
      <c r="P19" s="48"/>
      <c r="Q19" s="48"/>
      <c r="R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row>
    <row r="20" spans="1:132" s="2" customFormat="1" ht="18" customHeight="1">
      <c r="A20" s="121" t="s">
        <v>155</v>
      </c>
      <c r="B20" s="33" t="s">
        <v>156</v>
      </c>
      <c r="C20" s="206">
        <f t="shared" si="0"/>
        <v>3637619.75</v>
      </c>
      <c r="D20" s="206">
        <f t="shared" si="0"/>
        <v>134940.79</v>
      </c>
      <c r="E20" s="206">
        <f t="shared" si="0"/>
        <v>3772560.54</v>
      </c>
      <c r="F20" s="206">
        <f t="shared" si="0"/>
        <v>3732504</v>
      </c>
      <c r="G20" s="206">
        <f t="shared" si="0"/>
        <v>3294468.9299999997</v>
      </c>
      <c r="H20" s="124">
        <f t="shared" si="1"/>
        <v>16.737745583039644</v>
      </c>
      <c r="I20" s="124">
        <f t="shared" si="2"/>
        <v>87.32713219759223</v>
      </c>
      <c r="J20" s="206">
        <f t="shared" si="3"/>
        <v>2970942.32</v>
      </c>
      <c r="K20" s="124">
        <f t="shared" si="4"/>
        <v>90.179703713278</v>
      </c>
      <c r="L20" s="206">
        <f t="shared" si="5"/>
        <v>323526.61</v>
      </c>
      <c r="M20" s="206">
        <f t="shared" si="6"/>
        <v>478091.61</v>
      </c>
      <c r="N20" s="48"/>
      <c r="O20" s="48"/>
      <c r="P20" s="48"/>
      <c r="Q20" s="48"/>
      <c r="R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row>
    <row r="21" spans="1:132" s="2" customFormat="1" ht="18" customHeight="1">
      <c r="A21" s="121" t="s">
        <v>157</v>
      </c>
      <c r="B21" s="33" t="s">
        <v>158</v>
      </c>
      <c r="C21" s="206">
        <f t="shared" si="0"/>
        <v>1202024.21</v>
      </c>
      <c r="D21" s="206">
        <f t="shared" si="0"/>
        <v>-645199.73</v>
      </c>
      <c r="E21" s="206">
        <f t="shared" si="0"/>
        <v>556824.48</v>
      </c>
      <c r="F21" s="206">
        <f t="shared" si="0"/>
        <v>331328.4</v>
      </c>
      <c r="G21" s="206">
        <f t="shared" si="0"/>
        <v>144242.91</v>
      </c>
      <c r="H21" s="124">
        <f t="shared" si="1"/>
        <v>0.7328346938567986</v>
      </c>
      <c r="I21" s="124">
        <f t="shared" si="2"/>
        <v>25.904556135894026</v>
      </c>
      <c r="J21" s="206">
        <f t="shared" si="3"/>
        <v>144242.91</v>
      </c>
      <c r="K21" s="124">
        <f t="shared" si="4"/>
        <v>100</v>
      </c>
      <c r="L21" s="206">
        <f t="shared" si="5"/>
        <v>0</v>
      </c>
      <c r="M21" s="206">
        <f t="shared" si="6"/>
        <v>412581.58</v>
      </c>
      <c r="N21" s="48"/>
      <c r="O21" s="48"/>
      <c r="P21" s="48"/>
      <c r="Q21" s="48"/>
      <c r="R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row>
    <row r="22" spans="1:132" s="2" customFormat="1" ht="18" customHeight="1">
      <c r="A22" s="121" t="s">
        <v>159</v>
      </c>
      <c r="B22" s="33" t="s">
        <v>160</v>
      </c>
      <c r="C22" s="206">
        <f t="shared" si="0"/>
        <v>0</v>
      </c>
      <c r="D22" s="206">
        <f t="shared" si="0"/>
        <v>0</v>
      </c>
      <c r="E22" s="206">
        <f t="shared" si="0"/>
        <v>0</v>
      </c>
      <c r="F22" s="206">
        <f t="shared" si="0"/>
        <v>0</v>
      </c>
      <c r="G22" s="206">
        <f t="shared" si="0"/>
        <v>0</v>
      </c>
      <c r="H22" s="124">
        <f t="shared" si="1"/>
        <v>0</v>
      </c>
      <c r="I22" s="124" t="str">
        <f t="shared" si="2"/>
        <v xml:space="preserve">    --</v>
      </c>
      <c r="J22" s="206">
        <f t="shared" si="3"/>
        <v>0</v>
      </c>
      <c r="K22" s="124" t="str">
        <f t="shared" si="4"/>
        <v xml:space="preserve">    --</v>
      </c>
      <c r="L22" s="206">
        <f t="shared" si="5"/>
        <v>0</v>
      </c>
      <c r="M22" s="206">
        <f t="shared" si="6"/>
        <v>0</v>
      </c>
      <c r="N22" s="48"/>
      <c r="O22" s="48"/>
      <c r="P22" s="48"/>
      <c r="Q22" s="48"/>
      <c r="R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row>
    <row r="23" spans="1:132" s="2" customFormat="1" ht="18" customHeight="1">
      <c r="A23" s="121" t="s">
        <v>161</v>
      </c>
      <c r="B23" s="33" t="s">
        <v>162</v>
      </c>
      <c r="C23" s="206">
        <f t="shared" si="0"/>
        <v>0</v>
      </c>
      <c r="D23" s="206">
        <f t="shared" si="0"/>
        <v>0</v>
      </c>
      <c r="E23" s="206">
        <f t="shared" si="0"/>
        <v>0</v>
      </c>
      <c r="F23" s="206">
        <f t="shared" si="0"/>
        <v>0</v>
      </c>
      <c r="G23" s="206">
        <f t="shared" si="0"/>
        <v>0</v>
      </c>
      <c r="H23" s="124">
        <f t="shared" si="1"/>
        <v>0</v>
      </c>
      <c r="I23" s="124" t="str">
        <f t="shared" si="2"/>
        <v xml:space="preserve">    --</v>
      </c>
      <c r="J23" s="206">
        <f t="shared" si="3"/>
        <v>0</v>
      </c>
      <c r="K23" s="124" t="str">
        <f t="shared" si="4"/>
        <v xml:space="preserve">    --</v>
      </c>
      <c r="L23" s="206">
        <f t="shared" si="5"/>
        <v>0</v>
      </c>
      <c r="M23" s="206">
        <f t="shared" si="6"/>
        <v>0</v>
      </c>
      <c r="N23" s="48"/>
      <c r="O23" s="48"/>
      <c r="P23" s="48"/>
      <c r="Q23" s="48"/>
      <c r="R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row>
    <row r="24" spans="1:132" s="2" customFormat="1" ht="18" customHeight="1" thickBot="1">
      <c r="A24" s="231" t="s">
        <v>163</v>
      </c>
      <c r="B24" s="231"/>
      <c r="C24" s="207">
        <f>SUM(C16:C23)</f>
        <v>19982204.03</v>
      </c>
      <c r="D24" s="207">
        <f>SUM(D16:D23)</f>
        <v>1940232.8200000003</v>
      </c>
      <c r="E24" s="207">
        <f>SUM(E16:E23)</f>
        <v>21922436.849999998</v>
      </c>
      <c r="F24" s="207">
        <f>SUM(F16:F23)</f>
        <v>20767560.7</v>
      </c>
      <c r="G24" s="207">
        <f>SUM(G16:G23)</f>
        <v>19682871.349999998</v>
      </c>
      <c r="H24" s="125">
        <f t="shared" si="1"/>
        <v>100</v>
      </c>
      <c r="I24" s="125">
        <f t="shared" si="2"/>
        <v>89.78413980469512</v>
      </c>
      <c r="J24" s="207">
        <f>SUM(J16:J23)</f>
        <v>18085257.049999997</v>
      </c>
      <c r="K24" s="125">
        <f t="shared" si="4"/>
        <v>91.88322541162167</v>
      </c>
      <c r="L24" s="207">
        <f>SUM(L16:L23)</f>
        <v>1597614.2799999998</v>
      </c>
      <c r="M24" s="207">
        <f>SUM(M16:M23)</f>
        <v>2239565.5</v>
      </c>
      <c r="N24" s="48"/>
      <c r="O24" s="48"/>
      <c r="P24" s="48"/>
      <c r="Q24" s="48"/>
      <c r="R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row>
    <row r="25" spans="1:132" s="2" customFormat="1" ht="18" customHeight="1">
      <c r="A25" s="126" t="s">
        <v>221</v>
      </c>
      <c r="B25" s="126"/>
      <c r="C25" s="127"/>
      <c r="D25" s="127"/>
      <c r="E25" s="127"/>
      <c r="F25" s="128"/>
      <c r="G25" s="127"/>
      <c r="H25" s="129"/>
      <c r="I25" s="129"/>
      <c r="J25" s="127"/>
      <c r="K25" s="129"/>
      <c r="L25" s="129"/>
      <c r="M25" s="127"/>
      <c r="N25" s="48"/>
      <c r="O25" s="48"/>
      <c r="P25" s="48"/>
      <c r="Q25" s="48"/>
      <c r="R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row>
    <row r="26" spans="1:132" s="2" customFormat="1" ht="12.95" customHeight="1">
      <c r="A26" s="130"/>
      <c r="B26" s="130"/>
      <c r="C26" s="131"/>
      <c r="D26" s="103"/>
      <c r="E26" s="103"/>
      <c r="F26" s="103"/>
      <c r="G26" s="103"/>
      <c r="H26" s="104"/>
      <c r="I26" s="104"/>
      <c r="J26" s="103"/>
      <c r="K26" s="104"/>
      <c r="L26" s="104"/>
      <c r="M26" s="103"/>
      <c r="N26" s="48"/>
      <c r="O26" s="48"/>
      <c r="P26" s="48"/>
      <c r="Q26" s="48"/>
      <c r="R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row>
    <row r="27" spans="1:132" s="2" customFormat="1" ht="12.95" customHeight="1">
      <c r="A27" s="130"/>
      <c r="B27" s="130"/>
      <c r="C27" s="131"/>
      <c r="D27" s="131"/>
      <c r="E27" s="131"/>
      <c r="F27" s="103"/>
      <c r="G27" s="103"/>
      <c r="H27" s="104"/>
      <c r="I27" s="104"/>
      <c r="J27" s="103"/>
      <c r="K27" s="104"/>
      <c r="L27" s="104"/>
      <c r="M27" s="103"/>
      <c r="N27" s="48"/>
      <c r="O27" s="48"/>
      <c r="P27" s="48"/>
      <c r="Q27" s="48"/>
      <c r="R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row>
    <row r="28" spans="1:132" s="2" customFormat="1" ht="18" customHeight="1" thickBot="1">
      <c r="A28" s="48" t="s">
        <v>6</v>
      </c>
      <c r="B28" s="130"/>
      <c r="C28" s="131"/>
      <c r="D28" s="103"/>
      <c r="E28" s="103"/>
      <c r="F28" s="103"/>
      <c r="G28" s="103"/>
      <c r="H28" s="104"/>
      <c r="I28" s="104"/>
      <c r="J28" s="103"/>
      <c r="K28" s="104"/>
      <c r="L28" s="104"/>
      <c r="M28" s="193">
        <f>M1</f>
        <v>1995</v>
      </c>
      <c r="N28" s="48"/>
      <c r="O28" s="48"/>
      <c r="P28" s="48"/>
      <c r="Q28" s="48"/>
      <c r="R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row>
    <row r="29" spans="1:132" s="2" customFormat="1" ht="33" customHeight="1">
      <c r="A29" s="234" t="s">
        <v>360</v>
      </c>
      <c r="B29" s="234"/>
      <c r="C29" s="117"/>
      <c r="D29" s="118"/>
      <c r="E29" s="118"/>
      <c r="F29" s="233"/>
      <c r="G29" s="233"/>
      <c r="H29" s="233"/>
      <c r="I29" s="233"/>
      <c r="J29" s="233"/>
      <c r="K29" s="233"/>
      <c r="L29" s="233"/>
      <c r="M29" s="233"/>
      <c r="N29" s="48"/>
      <c r="O29" s="48"/>
      <c r="P29" s="48"/>
      <c r="Q29" s="48"/>
      <c r="R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row>
    <row r="30" spans="1:132" s="2" customFormat="1" ht="18" customHeight="1">
      <c r="A30" s="119"/>
      <c r="B30" s="119"/>
      <c r="C30" s="235" t="s">
        <v>136</v>
      </c>
      <c r="D30" s="236"/>
      <c r="E30" s="237"/>
      <c r="F30" s="192"/>
      <c r="G30" s="235" t="s">
        <v>137</v>
      </c>
      <c r="H30" s="236"/>
      <c r="I30" s="236"/>
      <c r="J30" s="236"/>
      <c r="K30" s="236"/>
      <c r="L30" s="236"/>
      <c r="M30" s="237"/>
      <c r="N30" s="48"/>
      <c r="O30" s="48"/>
      <c r="P30" s="48"/>
      <c r="Q30" s="48"/>
      <c r="R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row>
    <row r="31" spans="6:132" s="2" customFormat="1" ht="18" customHeight="1">
      <c r="F31" s="135"/>
      <c r="G31" s="132" t="s">
        <v>394</v>
      </c>
      <c r="J31" s="132" t="s">
        <v>275</v>
      </c>
      <c r="K31" s="195"/>
      <c r="L31" s="132" t="s">
        <v>394</v>
      </c>
      <c r="M31" s="132" t="s">
        <v>394</v>
      </c>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row>
    <row r="32" spans="1:132" s="2" customFormat="1" ht="18" customHeight="1">
      <c r="A32" s="239" t="s">
        <v>138</v>
      </c>
      <c r="B32" s="239"/>
      <c r="C32" s="120" t="s">
        <v>139</v>
      </c>
      <c r="D32" s="120" t="s">
        <v>140</v>
      </c>
      <c r="E32" s="120" t="s">
        <v>141</v>
      </c>
      <c r="F32" s="135"/>
      <c r="G32" s="120" t="s">
        <v>395</v>
      </c>
      <c r="H32" s="120" t="s">
        <v>142</v>
      </c>
      <c r="I32" s="120" t="s">
        <v>164</v>
      </c>
      <c r="J32" s="120" t="s">
        <v>396</v>
      </c>
      <c r="K32" s="120" t="s">
        <v>165</v>
      </c>
      <c r="L32" s="120" t="s">
        <v>397</v>
      </c>
      <c r="M32" s="120" t="s">
        <v>166</v>
      </c>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row>
    <row r="33" spans="1:132" s="2" customFormat="1" ht="18" customHeight="1">
      <c r="A33" s="121" t="s">
        <v>147</v>
      </c>
      <c r="B33" s="33" t="s">
        <v>167</v>
      </c>
      <c r="C33" s="206">
        <f aca="true" t="shared" si="7" ref="C33:E41">C106+C136</f>
        <v>0</v>
      </c>
      <c r="D33" s="206">
        <f t="shared" si="7"/>
        <v>0</v>
      </c>
      <c r="E33" s="206">
        <f t="shared" si="7"/>
        <v>0</v>
      </c>
      <c r="F33" s="206"/>
      <c r="G33" s="206">
        <f aca="true" t="shared" si="8" ref="G33:G41">F106+F136</f>
        <v>0</v>
      </c>
      <c r="H33" s="124">
        <f aca="true" t="shared" si="9" ref="H33:H42">IF($G$42=0,"    --",G33/$G$42*100)</f>
        <v>0</v>
      </c>
      <c r="I33" s="124" t="str">
        <f aca="true" t="shared" si="10" ref="I33:I42">IF(G33=0,"    --",IF(E33=0,"    --",G33/E33*100))</f>
        <v xml:space="preserve">    --</v>
      </c>
      <c r="J33" s="206">
        <f aca="true" t="shared" si="11" ref="J33:J41">G106+G136</f>
        <v>0</v>
      </c>
      <c r="K33" s="124" t="str">
        <f aca="true" t="shared" si="12" ref="K33:K42">IF(G33=0,"     --",J33/G33*100)</f>
        <v xml:space="preserve">     --</v>
      </c>
      <c r="L33" s="206">
        <f aca="true" t="shared" si="13" ref="L33:L41">H106+H136</f>
        <v>0</v>
      </c>
      <c r="M33" s="206">
        <f aca="true" t="shared" si="14" ref="M33:M41">I106+I136</f>
        <v>0</v>
      </c>
      <c r="N33" s="48"/>
      <c r="O33" s="48"/>
      <c r="P33" s="48"/>
      <c r="Q33" s="48"/>
      <c r="R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row>
    <row r="34" spans="1:132" s="2" customFormat="1" ht="18" customHeight="1">
      <c r="A34" s="121" t="s">
        <v>149</v>
      </c>
      <c r="B34" s="33" t="s">
        <v>168</v>
      </c>
      <c r="C34" s="206">
        <f t="shared" si="7"/>
        <v>0</v>
      </c>
      <c r="D34" s="206">
        <f t="shared" si="7"/>
        <v>0</v>
      </c>
      <c r="E34" s="206">
        <f t="shared" si="7"/>
        <v>0</v>
      </c>
      <c r="F34" s="206"/>
      <c r="G34" s="206">
        <f t="shared" si="8"/>
        <v>0</v>
      </c>
      <c r="H34" s="124">
        <f t="shared" si="9"/>
        <v>0</v>
      </c>
      <c r="I34" s="124" t="str">
        <f t="shared" si="10"/>
        <v xml:space="preserve">    --</v>
      </c>
      <c r="J34" s="206">
        <f t="shared" si="11"/>
        <v>0</v>
      </c>
      <c r="K34" s="124" t="str">
        <f t="shared" si="12"/>
        <v xml:space="preserve">     --</v>
      </c>
      <c r="L34" s="206">
        <f t="shared" si="13"/>
        <v>0</v>
      </c>
      <c r="M34" s="206">
        <f t="shared" si="14"/>
        <v>0</v>
      </c>
      <c r="N34" s="48"/>
      <c r="O34" s="48"/>
      <c r="P34" s="48"/>
      <c r="Q34" s="48"/>
      <c r="R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row>
    <row r="35" spans="1:132" s="2" customFormat="1" ht="18" customHeight="1">
      <c r="A35" s="121" t="s">
        <v>151</v>
      </c>
      <c r="B35" s="33" t="s">
        <v>169</v>
      </c>
      <c r="C35" s="206">
        <f t="shared" si="7"/>
        <v>1586275.29</v>
      </c>
      <c r="D35" s="206">
        <f t="shared" si="7"/>
        <v>38968.15</v>
      </c>
      <c r="E35" s="206">
        <f t="shared" si="7"/>
        <v>1625243.43</v>
      </c>
      <c r="F35" s="206"/>
      <c r="G35" s="206">
        <f t="shared" si="8"/>
        <v>59236.909999999996</v>
      </c>
      <c r="H35" s="124">
        <f t="shared" si="9"/>
        <v>0.34155442047890183</v>
      </c>
      <c r="I35" s="124">
        <f t="shared" si="10"/>
        <v>3.6448023050922282</v>
      </c>
      <c r="J35" s="206">
        <f t="shared" si="11"/>
        <v>253752.25</v>
      </c>
      <c r="K35" s="124">
        <f t="shared" si="12"/>
        <v>428.36847836931406</v>
      </c>
      <c r="L35" s="206">
        <f t="shared" si="13"/>
        <v>0</v>
      </c>
      <c r="M35" s="206">
        <f t="shared" si="14"/>
        <v>-194515.34</v>
      </c>
      <c r="N35" s="48"/>
      <c r="O35" s="48"/>
      <c r="P35" s="48"/>
      <c r="Q35" s="48"/>
      <c r="R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row>
    <row r="36" spans="1:132" s="2" customFormat="1" ht="18" customHeight="1">
      <c r="A36" s="121" t="s">
        <v>153</v>
      </c>
      <c r="B36" s="33" t="s">
        <v>154</v>
      </c>
      <c r="C36" s="206">
        <f t="shared" si="7"/>
        <v>13679456.2</v>
      </c>
      <c r="D36" s="206">
        <f t="shared" si="7"/>
        <v>2046967.6600000001</v>
      </c>
      <c r="E36" s="206">
        <f t="shared" si="7"/>
        <v>15726423.86</v>
      </c>
      <c r="F36" s="206"/>
      <c r="G36" s="206">
        <f t="shared" si="8"/>
        <v>13152401.190000001</v>
      </c>
      <c r="H36" s="124">
        <f t="shared" si="9"/>
        <v>75.83550131761548</v>
      </c>
      <c r="I36" s="124">
        <f t="shared" si="10"/>
        <v>83.63249844392787</v>
      </c>
      <c r="J36" s="206">
        <f t="shared" si="11"/>
        <v>13424752.17</v>
      </c>
      <c r="K36" s="124">
        <f t="shared" si="12"/>
        <v>102.07073199840553</v>
      </c>
      <c r="L36" s="206">
        <f t="shared" si="13"/>
        <v>1173958.09</v>
      </c>
      <c r="M36" s="206">
        <f t="shared" si="14"/>
        <v>-272350.97000000003</v>
      </c>
      <c r="N36" s="48"/>
      <c r="O36" s="48"/>
      <c r="P36" s="48"/>
      <c r="Q36" s="48"/>
      <c r="R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row>
    <row r="37" spans="1:132" s="2" customFormat="1" ht="18" customHeight="1">
      <c r="A37" s="121" t="s">
        <v>170</v>
      </c>
      <c r="B37" s="33" t="s">
        <v>171</v>
      </c>
      <c r="C37" s="206">
        <f t="shared" si="7"/>
        <v>143371.44</v>
      </c>
      <c r="D37" s="206">
        <f t="shared" si="7"/>
        <v>0</v>
      </c>
      <c r="E37" s="206">
        <f t="shared" si="7"/>
        <v>143371.44</v>
      </c>
      <c r="F37" s="206"/>
      <c r="G37" s="206">
        <f t="shared" si="8"/>
        <v>180504.12</v>
      </c>
      <c r="H37" s="124">
        <f t="shared" si="9"/>
        <v>1.0407696839800413</v>
      </c>
      <c r="I37" s="124">
        <f t="shared" si="10"/>
        <v>125.899635241161</v>
      </c>
      <c r="J37" s="206">
        <f t="shared" si="11"/>
        <v>113635.36</v>
      </c>
      <c r="K37" s="124">
        <f t="shared" si="12"/>
        <v>62.954441150706145</v>
      </c>
      <c r="L37" s="206">
        <f t="shared" si="13"/>
        <v>0</v>
      </c>
      <c r="M37" s="206">
        <f t="shared" si="14"/>
        <v>66868.75</v>
      </c>
      <c r="N37" s="48"/>
      <c r="O37" s="48"/>
      <c r="P37" s="48"/>
      <c r="Q37" s="48"/>
      <c r="R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row>
    <row r="38" spans="1:132" s="2" customFormat="1" ht="18" customHeight="1">
      <c r="A38" s="121" t="s">
        <v>155</v>
      </c>
      <c r="B38" s="33" t="s">
        <v>172</v>
      </c>
      <c r="C38" s="206">
        <f t="shared" si="7"/>
        <v>0</v>
      </c>
      <c r="D38" s="206">
        <f t="shared" si="7"/>
        <v>0</v>
      </c>
      <c r="E38" s="206">
        <f t="shared" si="7"/>
        <v>0</v>
      </c>
      <c r="F38" s="206"/>
      <c r="G38" s="206">
        <f t="shared" si="8"/>
        <v>0</v>
      </c>
      <c r="H38" s="124">
        <f t="shared" si="9"/>
        <v>0</v>
      </c>
      <c r="I38" s="124" t="str">
        <f t="shared" si="10"/>
        <v xml:space="preserve">    --</v>
      </c>
      <c r="J38" s="206">
        <f t="shared" si="11"/>
        <v>0</v>
      </c>
      <c r="K38" s="124" t="str">
        <f t="shared" si="12"/>
        <v xml:space="preserve">     --</v>
      </c>
      <c r="L38" s="206">
        <f t="shared" si="13"/>
        <v>0</v>
      </c>
      <c r="M38" s="206">
        <f t="shared" si="14"/>
        <v>0</v>
      </c>
      <c r="N38" s="48"/>
      <c r="O38" s="48"/>
      <c r="P38" s="48"/>
      <c r="Q38" s="48"/>
      <c r="R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row>
    <row r="39" spans="1:132" s="2" customFormat="1" ht="18" customHeight="1">
      <c r="A39" s="121" t="s">
        <v>157</v>
      </c>
      <c r="B39" s="33" t="s">
        <v>158</v>
      </c>
      <c r="C39" s="206">
        <f t="shared" si="7"/>
        <v>4573101.1</v>
      </c>
      <c r="D39" s="206">
        <f t="shared" si="7"/>
        <v>-493176.61</v>
      </c>
      <c r="E39" s="206">
        <f t="shared" si="7"/>
        <v>4079924.49</v>
      </c>
      <c r="F39" s="206"/>
      <c r="G39" s="206">
        <f t="shared" si="8"/>
        <v>3951187.7</v>
      </c>
      <c r="H39" s="124">
        <f t="shared" si="9"/>
        <v>22.782174577925574</v>
      </c>
      <c r="I39" s="124">
        <f t="shared" si="10"/>
        <v>96.84462812202683</v>
      </c>
      <c r="J39" s="206">
        <f t="shared" si="11"/>
        <v>2855124.21</v>
      </c>
      <c r="K39" s="124">
        <f t="shared" si="12"/>
        <v>72.25989820731624</v>
      </c>
      <c r="L39" s="206">
        <f t="shared" si="13"/>
        <v>0</v>
      </c>
      <c r="M39" s="206">
        <f t="shared" si="14"/>
        <v>1096063.48</v>
      </c>
      <c r="N39" s="48"/>
      <c r="O39" s="48"/>
      <c r="P39" s="48"/>
      <c r="Q39" s="48"/>
      <c r="R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row>
    <row r="40" spans="1:132" s="2" customFormat="1" ht="18" customHeight="1">
      <c r="A40" s="121" t="s">
        <v>159</v>
      </c>
      <c r="B40" s="33" t="s">
        <v>160</v>
      </c>
      <c r="C40" s="206">
        <f t="shared" si="7"/>
        <v>0</v>
      </c>
      <c r="D40" s="206">
        <f t="shared" si="7"/>
        <v>347473.02</v>
      </c>
      <c r="E40" s="206">
        <f t="shared" si="7"/>
        <v>347473.02</v>
      </c>
      <c r="F40" s="206"/>
      <c r="G40" s="206">
        <f t="shared" si="8"/>
        <v>0</v>
      </c>
      <c r="H40" s="124">
        <f t="shared" si="9"/>
        <v>0</v>
      </c>
      <c r="I40" s="124" t="str">
        <f t="shared" si="10"/>
        <v xml:space="preserve">    --</v>
      </c>
      <c r="J40" s="206">
        <f t="shared" si="11"/>
        <v>0</v>
      </c>
      <c r="K40" s="124" t="str">
        <f t="shared" si="12"/>
        <v xml:space="preserve">     --</v>
      </c>
      <c r="L40" s="206">
        <f t="shared" si="13"/>
        <v>0</v>
      </c>
      <c r="M40" s="206">
        <f t="shared" si="14"/>
        <v>0</v>
      </c>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row>
    <row r="41" spans="1:132" s="2" customFormat="1" ht="18" customHeight="1">
      <c r="A41" s="121" t="s">
        <v>161</v>
      </c>
      <c r="B41" s="33" t="s">
        <v>162</v>
      </c>
      <c r="C41" s="206">
        <f t="shared" si="7"/>
        <v>0</v>
      </c>
      <c r="D41" s="206">
        <f t="shared" si="7"/>
        <v>0</v>
      </c>
      <c r="E41" s="206">
        <f t="shared" si="7"/>
        <v>0</v>
      </c>
      <c r="F41" s="206"/>
      <c r="G41" s="206">
        <f t="shared" si="8"/>
        <v>0</v>
      </c>
      <c r="H41" s="124">
        <f t="shared" si="9"/>
        <v>0</v>
      </c>
      <c r="I41" s="124" t="str">
        <f t="shared" si="10"/>
        <v xml:space="preserve">    --</v>
      </c>
      <c r="J41" s="206">
        <f t="shared" si="11"/>
        <v>0</v>
      </c>
      <c r="K41" s="124" t="str">
        <f t="shared" si="12"/>
        <v xml:space="preserve">     --</v>
      </c>
      <c r="L41" s="206">
        <f t="shared" si="13"/>
        <v>0</v>
      </c>
      <c r="M41" s="206">
        <f t="shared" si="14"/>
        <v>0</v>
      </c>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row>
    <row r="42" spans="1:132" s="2" customFormat="1" ht="18" customHeight="1" thickBot="1">
      <c r="A42" s="231" t="s">
        <v>173</v>
      </c>
      <c r="B42" s="231"/>
      <c r="C42" s="207">
        <f>SUM(C33:C41)</f>
        <v>19982204.029999997</v>
      </c>
      <c r="D42" s="207">
        <f>SUM(D33:D41)</f>
        <v>1940232.2200000002</v>
      </c>
      <c r="E42" s="207">
        <f>SUM(E33:E41)</f>
        <v>21922436.24</v>
      </c>
      <c r="F42" s="208"/>
      <c r="G42" s="207">
        <f>SUM(G33:G41)</f>
        <v>17343329.92</v>
      </c>
      <c r="H42" s="125">
        <f t="shared" si="9"/>
        <v>100</v>
      </c>
      <c r="I42" s="125">
        <f t="shared" si="10"/>
        <v>79.11223793802218</v>
      </c>
      <c r="J42" s="207">
        <f>SUM(J33:J41)</f>
        <v>16647263.989999998</v>
      </c>
      <c r="K42" s="125">
        <f t="shared" si="12"/>
        <v>95.98654968099687</v>
      </c>
      <c r="L42" s="207">
        <f>SUM(L33:L41)</f>
        <v>1173958.09</v>
      </c>
      <c r="M42" s="207">
        <f>SUM(M33:M41)</f>
        <v>696065.9199999999</v>
      </c>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row>
    <row r="43" spans="1:132" s="2" customFormat="1" ht="18" customHeight="1">
      <c r="A43" s="126" t="s">
        <v>221</v>
      </c>
      <c r="B43" s="126"/>
      <c r="C43" s="127"/>
      <c r="D43" s="127"/>
      <c r="E43" s="127"/>
      <c r="F43" s="127"/>
      <c r="G43" s="127"/>
      <c r="H43" s="129"/>
      <c r="I43" s="129"/>
      <c r="J43" s="127"/>
      <c r="K43" s="129"/>
      <c r="L43" s="129"/>
      <c r="M43" s="127"/>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row>
    <row r="44" spans="1:132" s="2" customFormat="1" ht="12.95" customHeight="1">
      <c r="A44" s="126"/>
      <c r="B44" s="126"/>
      <c r="C44" s="127"/>
      <c r="D44" s="127"/>
      <c r="E44" s="127"/>
      <c r="F44" s="127"/>
      <c r="G44" s="127"/>
      <c r="H44" s="129"/>
      <c r="I44" s="129"/>
      <c r="J44" s="127"/>
      <c r="K44" s="129"/>
      <c r="L44" s="129"/>
      <c r="M44" s="127"/>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row>
    <row r="45" spans="1:132" s="2" customFormat="1" ht="12.95" customHeight="1">
      <c r="A45" s="126"/>
      <c r="B45" s="126"/>
      <c r="C45" s="127"/>
      <c r="D45" s="127"/>
      <c r="E45" s="127"/>
      <c r="F45" s="127"/>
      <c r="G45" s="127"/>
      <c r="H45" s="129"/>
      <c r="I45" s="129"/>
      <c r="J45" s="127"/>
      <c r="K45" s="129"/>
      <c r="L45" s="129"/>
      <c r="M45" s="127"/>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row>
    <row r="46" spans="1:132" s="2" customFormat="1" ht="18" customHeight="1" thickBot="1">
      <c r="A46" s="48" t="s">
        <v>6</v>
      </c>
      <c r="B46" s="126"/>
      <c r="C46" s="127"/>
      <c r="D46" s="127"/>
      <c r="E46" s="127"/>
      <c r="F46" s="127"/>
      <c r="G46" s="193">
        <f>M1</f>
        <v>1995</v>
      </c>
      <c r="H46" s="129"/>
      <c r="I46" s="129"/>
      <c r="J46" s="127"/>
      <c r="K46" s="129"/>
      <c r="L46" s="129"/>
      <c r="M46" s="127"/>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row>
    <row r="47" spans="1:13" ht="33" customHeight="1">
      <c r="A47" s="234" t="s">
        <v>359</v>
      </c>
      <c r="B47" s="234"/>
      <c r="C47" s="234"/>
      <c r="D47" s="133"/>
      <c r="E47" s="133"/>
      <c r="F47" s="134"/>
      <c r="G47" s="133"/>
      <c r="H47" s="34"/>
      <c r="I47" s="34"/>
      <c r="J47" s="34"/>
      <c r="K47" s="34"/>
      <c r="L47" s="34"/>
      <c r="M47" s="34"/>
    </row>
    <row r="48" spans="1:13" ht="33" customHeight="1">
      <c r="A48" s="232"/>
      <c r="B48" s="232"/>
      <c r="C48" s="232"/>
      <c r="D48" s="136" t="s">
        <v>174</v>
      </c>
      <c r="E48" s="136" t="s">
        <v>175</v>
      </c>
      <c r="F48" s="33"/>
      <c r="G48" s="135" t="s">
        <v>176</v>
      </c>
      <c r="H48" s="34"/>
      <c r="I48" s="34"/>
      <c r="J48" s="34"/>
      <c r="K48" s="34"/>
      <c r="L48" s="34"/>
      <c r="M48" s="34"/>
    </row>
    <row r="49" spans="1:13" ht="18" customHeight="1">
      <c r="A49" s="238" t="s">
        <v>10</v>
      </c>
      <c r="B49" s="238"/>
      <c r="C49" s="238"/>
      <c r="D49" s="136" t="s">
        <v>177</v>
      </c>
      <c r="E49" s="136" t="s">
        <v>178</v>
      </c>
      <c r="F49" s="137" t="s">
        <v>179</v>
      </c>
      <c r="G49" s="136" t="s">
        <v>180</v>
      </c>
      <c r="H49" s="34"/>
      <c r="I49" s="34"/>
      <c r="J49" s="34"/>
      <c r="K49" s="34"/>
      <c r="L49" s="34"/>
      <c r="M49" s="34"/>
    </row>
    <row r="50" spans="1:13" ht="18" customHeight="1">
      <c r="A50" s="138" t="s">
        <v>181</v>
      </c>
      <c r="B50" s="115" t="s">
        <v>182</v>
      </c>
      <c r="C50" s="123"/>
      <c r="D50" s="209">
        <f>D153+D171</f>
        <v>13392142.240000002</v>
      </c>
      <c r="E50" s="209">
        <f>E153+E171</f>
        <v>16244159.5</v>
      </c>
      <c r="F50" s="209"/>
      <c r="G50" s="209">
        <f aca="true" t="shared" si="15" ref="G50:G56">D50-E50</f>
        <v>-2852017.259999998</v>
      </c>
      <c r="H50" s="34"/>
      <c r="I50" s="34"/>
      <c r="J50" s="34"/>
      <c r="K50" s="34"/>
      <c r="L50" s="34"/>
      <c r="M50" s="34"/>
    </row>
    <row r="51" spans="1:13" ht="18" customHeight="1">
      <c r="A51" s="44" t="s">
        <v>183</v>
      </c>
      <c r="B51" s="33" t="s">
        <v>184</v>
      </c>
      <c r="C51" s="122"/>
      <c r="D51" s="206">
        <f aca="true" t="shared" si="16" ref="D51:E55">D154+D172</f>
        <v>3951187.7</v>
      </c>
      <c r="E51" s="206">
        <f t="shared" si="16"/>
        <v>3438711.84</v>
      </c>
      <c r="F51" s="206"/>
      <c r="G51" s="206">
        <f t="shared" si="15"/>
        <v>512475.86000000034</v>
      </c>
      <c r="H51" s="34"/>
      <c r="I51" s="34"/>
      <c r="J51" s="34"/>
      <c r="K51" s="34"/>
      <c r="L51" s="34"/>
      <c r="M51" s="34"/>
    </row>
    <row r="52" spans="1:13" ht="18" customHeight="1">
      <c r="A52" s="44" t="s">
        <v>185</v>
      </c>
      <c r="B52" s="33" t="s">
        <v>186</v>
      </c>
      <c r="C52" s="122"/>
      <c r="D52" s="206">
        <f t="shared" si="16"/>
        <v>0</v>
      </c>
      <c r="E52" s="206">
        <f t="shared" si="16"/>
        <v>0</v>
      </c>
      <c r="F52" s="206"/>
      <c r="G52" s="206">
        <f t="shared" si="15"/>
        <v>0</v>
      </c>
      <c r="H52" s="34"/>
      <c r="I52" s="34"/>
      <c r="J52" s="34"/>
      <c r="K52" s="34"/>
      <c r="L52" s="34"/>
      <c r="M52" s="34"/>
    </row>
    <row r="53" spans="1:13" ht="18" customHeight="1">
      <c r="A53" s="139" t="s">
        <v>187</v>
      </c>
      <c r="B53" s="139"/>
      <c r="C53" s="140"/>
      <c r="D53" s="210">
        <f>D50+D51+D52</f>
        <v>17343329.94</v>
      </c>
      <c r="E53" s="210">
        <f>E50+E51+E52</f>
        <v>19682871.34</v>
      </c>
      <c r="F53" s="206"/>
      <c r="G53" s="210">
        <f t="shared" si="15"/>
        <v>-2339541.3999999985</v>
      </c>
      <c r="H53" s="34"/>
      <c r="I53" s="34"/>
      <c r="J53" s="34"/>
      <c r="K53" s="34"/>
      <c r="L53" s="34"/>
      <c r="M53" s="34"/>
    </row>
    <row r="54" spans="1:13" ht="18" customHeight="1">
      <c r="A54" s="44" t="s">
        <v>188</v>
      </c>
      <c r="B54" s="33" t="s">
        <v>160</v>
      </c>
      <c r="C54" s="122"/>
      <c r="D54" s="206">
        <f t="shared" si="16"/>
        <v>0</v>
      </c>
      <c r="E54" s="206">
        <f>E157+E175</f>
        <v>0</v>
      </c>
      <c r="F54" s="206"/>
      <c r="G54" s="206">
        <f t="shared" si="15"/>
        <v>0</v>
      </c>
      <c r="H54" s="34"/>
      <c r="I54" s="34"/>
      <c r="J54" s="34"/>
      <c r="K54" s="34"/>
      <c r="L54" s="34"/>
      <c r="M54" s="34"/>
    </row>
    <row r="55" spans="1:13" ht="18" customHeight="1">
      <c r="A55" s="44" t="s">
        <v>189</v>
      </c>
      <c r="B55" s="33" t="s">
        <v>190</v>
      </c>
      <c r="C55" s="122"/>
      <c r="D55" s="206">
        <f t="shared" si="16"/>
        <v>0</v>
      </c>
      <c r="E55" s="206">
        <f>E158+E176</f>
        <v>0</v>
      </c>
      <c r="F55" s="206"/>
      <c r="G55" s="206">
        <f t="shared" si="15"/>
        <v>0</v>
      </c>
      <c r="H55" s="34"/>
      <c r="I55" s="34"/>
      <c r="J55" s="34"/>
      <c r="K55" s="34"/>
      <c r="L55" s="34"/>
      <c r="M55" s="34"/>
    </row>
    <row r="56" spans="1:13" ht="18" customHeight="1">
      <c r="A56" s="115" t="s">
        <v>191</v>
      </c>
      <c r="B56" s="115"/>
      <c r="C56" s="123"/>
      <c r="D56" s="209">
        <f>D54+D55</f>
        <v>0</v>
      </c>
      <c r="E56" s="209">
        <f>E54+E55</f>
        <v>0</v>
      </c>
      <c r="F56" s="206"/>
      <c r="G56" s="210">
        <f t="shared" si="15"/>
        <v>0</v>
      </c>
      <c r="H56" s="34"/>
      <c r="I56" s="34"/>
      <c r="J56" s="34"/>
      <c r="K56" s="34"/>
      <c r="L56" s="34"/>
      <c r="M56" s="34"/>
    </row>
    <row r="57" spans="1:13" ht="18" customHeight="1">
      <c r="A57" s="241" t="s">
        <v>386</v>
      </c>
      <c r="B57" s="241"/>
      <c r="C57" s="241"/>
      <c r="D57" s="211">
        <f>D53+D56</f>
        <v>17343329.94</v>
      </c>
      <c r="E57" s="211">
        <f>E53+E56</f>
        <v>19682871.34</v>
      </c>
      <c r="F57" s="206"/>
      <c r="G57" s="211">
        <f>G53+G56</f>
        <v>-2339541.3999999985</v>
      </c>
      <c r="H57" s="34"/>
      <c r="I57" s="34"/>
      <c r="J57" s="34"/>
      <c r="K57" s="34"/>
      <c r="L57" s="34"/>
      <c r="M57" s="34"/>
    </row>
    <row r="58" spans="1:13" ht="18" customHeight="1">
      <c r="A58" s="142" t="s">
        <v>193</v>
      </c>
      <c r="B58" s="33"/>
      <c r="C58" s="122"/>
      <c r="D58" s="122"/>
      <c r="E58" s="122"/>
      <c r="F58" s="122"/>
      <c r="G58" s="123"/>
      <c r="H58" s="34"/>
      <c r="I58" s="34"/>
      <c r="J58" s="34"/>
      <c r="K58" s="34"/>
      <c r="L58" s="34"/>
      <c r="M58" s="34"/>
    </row>
    <row r="59" spans="1:13" ht="18" customHeight="1">
      <c r="A59" s="144" t="s">
        <v>194</v>
      </c>
      <c r="B59" s="33"/>
      <c r="C59" s="122"/>
      <c r="D59" s="122"/>
      <c r="E59" s="122"/>
      <c r="F59" s="206">
        <f>F162+F180</f>
        <v>110105.41</v>
      </c>
      <c r="G59" s="122"/>
      <c r="H59" s="34"/>
      <c r="I59" s="34"/>
      <c r="J59" s="34"/>
      <c r="K59" s="34"/>
      <c r="L59" s="34"/>
      <c r="M59" s="34"/>
    </row>
    <row r="60" spans="1:13" ht="18" customHeight="1">
      <c r="A60" s="144" t="s">
        <v>195</v>
      </c>
      <c r="B60" s="33"/>
      <c r="C60" s="122"/>
      <c r="D60" s="122"/>
      <c r="E60" s="122"/>
      <c r="F60" s="206">
        <f>F163+F181</f>
        <v>0</v>
      </c>
      <c r="G60" s="122"/>
      <c r="H60" s="34"/>
      <c r="I60" s="34"/>
      <c r="J60" s="34"/>
      <c r="K60" s="34"/>
      <c r="L60" s="34"/>
      <c r="M60" s="34"/>
    </row>
    <row r="61" spans="1:13" ht="18" customHeight="1">
      <c r="A61" s="144" t="s">
        <v>196</v>
      </c>
      <c r="B61" s="33"/>
      <c r="C61" s="122"/>
      <c r="D61" s="122"/>
      <c r="E61" s="122"/>
      <c r="F61" s="206">
        <f>F164+F182</f>
        <v>0</v>
      </c>
      <c r="G61" s="122"/>
      <c r="H61" s="34"/>
      <c r="I61" s="34"/>
      <c r="J61" s="34"/>
      <c r="K61" s="34"/>
      <c r="L61" s="34"/>
      <c r="M61" s="34"/>
    </row>
    <row r="62" spans="1:13" ht="18" customHeight="1">
      <c r="A62" s="241" t="s">
        <v>387</v>
      </c>
      <c r="B62" s="241"/>
      <c r="C62" s="241"/>
      <c r="D62" s="241"/>
      <c r="E62" s="241"/>
      <c r="F62" s="212">
        <f>F59+F60-F61</f>
        <v>110105.41</v>
      </c>
      <c r="G62" s="122"/>
      <c r="H62" s="34"/>
      <c r="I62" s="34"/>
      <c r="J62" s="34"/>
      <c r="K62" s="34"/>
      <c r="L62" s="34"/>
      <c r="M62" s="34"/>
    </row>
    <row r="63" spans="1:13" ht="18" customHeight="1" thickBot="1">
      <c r="A63" s="242" t="s">
        <v>198</v>
      </c>
      <c r="B63" s="242"/>
      <c r="C63" s="242"/>
      <c r="D63" s="242"/>
      <c r="E63" s="242"/>
      <c r="F63" s="242"/>
      <c r="G63" s="213">
        <f>G57+F62</f>
        <v>-2229435.9899999984</v>
      </c>
      <c r="H63" s="34"/>
      <c r="I63" s="34"/>
      <c r="J63" s="34"/>
      <c r="K63" s="34"/>
      <c r="L63" s="34"/>
      <c r="M63" s="34"/>
    </row>
    <row r="64" spans="1:7" ht="12.95" customHeight="1">
      <c r="A64" s="87"/>
      <c r="B64" s="87"/>
      <c r="C64" s="87"/>
      <c r="D64" s="87"/>
      <c r="E64" s="87"/>
      <c r="F64" s="87"/>
      <c r="G64" s="103"/>
    </row>
    <row r="65" spans="1:7" ht="12.95" customHeight="1">
      <c r="A65" s="87"/>
      <c r="B65" s="87"/>
      <c r="C65" s="87"/>
      <c r="D65" s="87"/>
      <c r="E65" s="87"/>
      <c r="F65" s="87"/>
      <c r="G65" s="103"/>
    </row>
    <row r="66" spans="1:132" s="2" customFormat="1" ht="21" customHeight="1">
      <c r="A66" s="102" t="s">
        <v>199</v>
      </c>
      <c r="B66" s="130"/>
      <c r="C66" s="103"/>
      <c r="D66" s="103"/>
      <c r="E66" s="103"/>
      <c r="F66" s="103"/>
      <c r="G66" s="103"/>
      <c r="H66" s="104"/>
      <c r="I66" s="104"/>
      <c r="J66" s="103"/>
      <c r="K66" s="104"/>
      <c r="L66" s="104"/>
      <c r="M66" s="103"/>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row>
    <row r="67" spans="1:132" s="2" customFormat="1" ht="12.95" customHeight="1">
      <c r="A67" s="102"/>
      <c r="B67" s="130"/>
      <c r="C67" s="103"/>
      <c r="D67" s="103"/>
      <c r="E67" s="103"/>
      <c r="F67" s="103"/>
      <c r="G67" s="103"/>
      <c r="H67" s="104"/>
      <c r="I67" s="104"/>
      <c r="J67" s="103"/>
      <c r="K67" s="104"/>
      <c r="L67" s="104"/>
      <c r="M67" s="103"/>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row>
    <row r="68" spans="1:132" s="2" customFormat="1" ht="18" customHeight="1" thickBot="1">
      <c r="A68" s="116"/>
      <c r="B68" s="130"/>
      <c r="C68" s="194">
        <f>M1</f>
        <v>1995</v>
      </c>
      <c r="D68" s="103"/>
      <c r="E68" s="103"/>
      <c r="F68" s="103"/>
      <c r="G68" s="194">
        <f>M1</f>
        <v>1995</v>
      </c>
      <c r="H68" s="104"/>
      <c r="I68" s="104"/>
      <c r="J68" s="103"/>
      <c r="K68" s="104"/>
      <c r="L68" s="104"/>
      <c r="M68" s="103"/>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row>
    <row r="69" spans="1:132" s="147" customFormat="1" ht="33" customHeight="1">
      <c r="A69" s="240" t="s">
        <v>200</v>
      </c>
      <c r="B69" s="240"/>
      <c r="C69" s="240"/>
      <c r="D69" s="127"/>
      <c r="E69" s="240" t="s">
        <v>401</v>
      </c>
      <c r="F69" s="240"/>
      <c r="G69" s="240"/>
      <c r="H69" s="129"/>
      <c r="I69" s="129"/>
      <c r="J69" s="127"/>
      <c r="K69" s="129"/>
      <c r="L69" s="129"/>
      <c r="M69" s="127"/>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row>
    <row r="70" spans="1:7" s="34" customFormat="1" ht="18" customHeight="1">
      <c r="A70" s="230" t="s">
        <v>382</v>
      </c>
      <c r="B70" s="230"/>
      <c r="C70" s="66">
        <f>IF(I24="    --","    --",I24/100)</f>
        <v>0.8978413980469512</v>
      </c>
      <c r="E70" s="33" t="s">
        <v>202</v>
      </c>
      <c r="F70" s="33"/>
      <c r="G70" s="67">
        <f>G42/M5</f>
        <v>4.369256197597572</v>
      </c>
    </row>
    <row r="71" spans="1:7" s="34" customFormat="1" ht="18" customHeight="1">
      <c r="A71" s="230" t="s">
        <v>383</v>
      </c>
      <c r="B71" s="230"/>
      <c r="C71" s="66">
        <f>IF(K24="    --","    --",K24/100)</f>
        <v>0.9188322541162166</v>
      </c>
      <c r="E71" s="33" t="s">
        <v>203</v>
      </c>
      <c r="F71" s="33"/>
      <c r="G71" s="66">
        <f>IF(SUM(G33:G37)=0,"    --",(G18+G23)/SUM(G33:G37))</f>
        <v>0.008204437213630487</v>
      </c>
    </row>
    <row r="72" spans="1:10" s="34" customFormat="1" ht="18" customHeight="1">
      <c r="A72" s="230" t="s">
        <v>204</v>
      </c>
      <c r="B72" s="230"/>
      <c r="C72" s="67">
        <f>G24/M5</f>
        <v>4.958650272421456</v>
      </c>
      <c r="E72" s="33" t="s">
        <v>205</v>
      </c>
      <c r="F72" s="33"/>
      <c r="G72" s="67">
        <f>(G18+G23)/M5</f>
        <v>0.02768049637716119</v>
      </c>
      <c r="H72" s="33"/>
      <c r="I72" s="33"/>
      <c r="J72" s="33"/>
    </row>
    <row r="73" spans="1:10" s="34" customFormat="1" ht="18" customHeight="1">
      <c r="A73" s="230" t="s">
        <v>206</v>
      </c>
      <c r="B73" s="230"/>
      <c r="C73" s="67">
        <f>(G20+G21)/M5</f>
        <v>0.8663049764939345</v>
      </c>
      <c r="E73" s="33" t="s">
        <v>207</v>
      </c>
      <c r="F73" s="33"/>
      <c r="G73" s="66">
        <f>G63/E24</f>
        <v>-0.10169654063799931</v>
      </c>
      <c r="H73" s="33"/>
      <c r="I73" s="33"/>
      <c r="J73" s="33"/>
    </row>
    <row r="74" spans="1:10" s="34" customFormat="1" ht="18" customHeight="1">
      <c r="A74" s="230" t="s">
        <v>208</v>
      </c>
      <c r="B74" s="230"/>
      <c r="C74" s="66">
        <f>SUM(G20+G21)/G24</f>
        <v>0.1747058027689644</v>
      </c>
      <c r="E74" s="33" t="s">
        <v>209</v>
      </c>
      <c r="F74" s="33"/>
      <c r="G74" s="67">
        <f>(G33+G34+G35)/M5</f>
        <v>0.01492338768494289</v>
      </c>
      <c r="H74" s="33"/>
      <c r="I74" s="33"/>
      <c r="J74" s="33"/>
    </row>
    <row r="75" spans="1:10" s="34" customFormat="1" ht="18" customHeight="1">
      <c r="A75" s="230" t="s">
        <v>210</v>
      </c>
      <c r="B75" s="230"/>
      <c r="C75" s="68" t="str">
        <f>(INT(L24/G24*365)&amp;" días")</f>
        <v>29 días</v>
      </c>
      <c r="D75" s="33"/>
      <c r="E75" s="33" t="s">
        <v>211</v>
      </c>
      <c r="F75" s="33"/>
      <c r="G75" s="67">
        <f>G53</f>
        <v>-2339541.3999999985</v>
      </c>
      <c r="H75" s="33"/>
      <c r="I75" s="33"/>
      <c r="J75" s="33"/>
    </row>
    <row r="76" spans="1:7" s="34" customFormat="1" ht="18" customHeight="1">
      <c r="A76" s="230" t="s">
        <v>384</v>
      </c>
      <c r="B76" s="230"/>
      <c r="C76" s="66">
        <f>IF(I42="    --","    --",I42/100)</f>
        <v>0.7911223793802218</v>
      </c>
      <c r="D76" s="33"/>
      <c r="E76" s="33" t="s">
        <v>212</v>
      </c>
      <c r="F76" s="33"/>
      <c r="G76" s="66">
        <f>IF(SUM(E33:E37)=0,"    --",SUM(E16:E19)/SUM(E33:E37))</f>
        <v>1.0056023368403253</v>
      </c>
    </row>
    <row r="77" spans="1:7" s="34" customFormat="1" ht="18" customHeight="1">
      <c r="A77" s="230" t="s">
        <v>385</v>
      </c>
      <c r="B77" s="230"/>
      <c r="C77" s="66">
        <f>IF(K42="    --","    --",K42/100)</f>
        <v>0.9598654968099687</v>
      </c>
      <c r="E77" s="33" t="s">
        <v>213</v>
      </c>
      <c r="F77" s="33"/>
      <c r="G77" s="66">
        <f>E16/E24</f>
        <v>0.37528700829625156</v>
      </c>
    </row>
    <row r="78" spans="1:7" s="34" customFormat="1" ht="18" customHeight="1">
      <c r="A78" s="230" t="s">
        <v>214</v>
      </c>
      <c r="B78" s="230"/>
      <c r="C78" s="66">
        <f>IF(G42=0,"    --",1-(G41/G42))</f>
        <v>1</v>
      </c>
      <c r="E78" s="33" t="s">
        <v>215</v>
      </c>
      <c r="F78" s="33"/>
      <c r="G78" s="66">
        <f>IF((E19+E21)=0,"    --",(E36+E39)/(E19+E21))</f>
        <v>6.505080887563428</v>
      </c>
    </row>
    <row r="79" spans="1:7" s="34" customFormat="1" ht="18" customHeight="1">
      <c r="A79" s="230" t="s">
        <v>216</v>
      </c>
      <c r="B79" s="230"/>
      <c r="C79" s="68" t="str">
        <f>IF(G42=0,"    --",INT(M42/G42*365)&amp;" días")</f>
        <v>14 días</v>
      </c>
      <c r="E79" s="33" t="s">
        <v>217</v>
      </c>
      <c r="F79" s="33"/>
      <c r="G79" s="66">
        <f>IF((G18+G23)=0,"    --",((G33+G34+G35+G37)-(G16+G17+G18))/(G18+G23))</f>
        <v>-127.28190892213051</v>
      </c>
    </row>
    <row r="80" spans="1:7" s="34" customFormat="1" ht="18" customHeight="1" thickBot="1">
      <c r="A80" s="243" t="s">
        <v>218</v>
      </c>
      <c r="B80" s="243"/>
      <c r="C80" s="148">
        <f>G63/M5</f>
        <v>-0.5616555218281041</v>
      </c>
      <c r="E80" s="71" t="s">
        <v>219</v>
      </c>
      <c r="F80" s="71"/>
      <c r="G80" s="72">
        <f>IF(G42=0,"    --",SUM(G33:G35)/G42)</f>
        <v>0.0034155442047890186</v>
      </c>
    </row>
    <row r="81" ht="12.95" customHeight="1">
      <c r="A81" s="3"/>
    </row>
    <row r="82" s="34" customFormat="1" ht="18" customHeight="1">
      <c r="A82" s="33" t="s">
        <v>220</v>
      </c>
    </row>
    <row r="83" s="34" customFormat="1" ht="18" customHeight="1">
      <c r="A83" s="33"/>
    </row>
    <row r="84" ht="18" customHeight="1">
      <c r="A84" s="63" t="s">
        <v>425</v>
      </c>
    </row>
    <row r="85" ht="18" customHeight="1">
      <c r="A85" s="33"/>
    </row>
    <row r="86" ht="12.95" customHeight="1" hidden="1">
      <c r="A86" s="3"/>
    </row>
    <row r="87" ht="12.95" customHeight="1" hidden="1">
      <c r="A87" s="3"/>
    </row>
    <row r="88" ht="12.95" customHeight="1" hidden="1" thickBot="1">
      <c r="A88" s="3"/>
    </row>
    <row r="89" spans="1:10" ht="12.95" customHeight="1" hidden="1">
      <c r="A89" s="3"/>
      <c r="B89" s="225" t="s">
        <v>262</v>
      </c>
      <c r="C89" s="228" t="s">
        <v>223</v>
      </c>
      <c r="D89" s="228"/>
      <c r="E89" s="228"/>
      <c r="F89" s="228" t="s">
        <v>224</v>
      </c>
      <c r="G89" s="228" t="s">
        <v>225</v>
      </c>
      <c r="H89" s="228" t="s">
        <v>226</v>
      </c>
      <c r="I89" s="228" t="s">
        <v>227</v>
      </c>
      <c r="J89" s="223" t="s">
        <v>228</v>
      </c>
    </row>
    <row r="90" spans="1:10" ht="12.95" customHeight="1" hidden="1">
      <c r="A90" s="3"/>
      <c r="B90" s="226"/>
      <c r="C90" s="153" t="s">
        <v>229</v>
      </c>
      <c r="D90" s="153" t="s">
        <v>230</v>
      </c>
      <c r="E90" s="153" t="s">
        <v>231</v>
      </c>
      <c r="F90" s="229"/>
      <c r="G90" s="229"/>
      <c r="H90" s="229"/>
      <c r="I90" s="229"/>
      <c r="J90" s="224"/>
    </row>
    <row r="91" spans="1:10" ht="12.95" customHeight="1" hidden="1">
      <c r="A91" s="3"/>
      <c r="B91" s="227"/>
      <c r="C91" s="157" t="s">
        <v>232</v>
      </c>
      <c r="D91" s="157" t="s">
        <v>233</v>
      </c>
      <c r="E91" s="157" t="s">
        <v>234</v>
      </c>
      <c r="F91" s="158" t="s">
        <v>235</v>
      </c>
      <c r="G91" s="158" t="s">
        <v>236</v>
      </c>
      <c r="H91" s="158" t="s">
        <v>237</v>
      </c>
      <c r="I91" s="158" t="s">
        <v>238</v>
      </c>
      <c r="J91" s="159" t="s">
        <v>239</v>
      </c>
    </row>
    <row r="92" spans="1:10" ht="12.95" customHeight="1" hidden="1">
      <c r="A92" s="3"/>
      <c r="B92" s="160" t="s">
        <v>240</v>
      </c>
      <c r="C92" s="122">
        <f>'[1]5100'!D5+'[2]5100'!D5</f>
        <v>7836644.91</v>
      </c>
      <c r="D92" s="122">
        <f>'[1]5100'!E5+'[2]5100'!E5</f>
        <v>390560.82999999996</v>
      </c>
      <c r="E92" s="122">
        <f>'[1]5100'!F5+'[2]5100'!F5</f>
        <v>8227205.74</v>
      </c>
      <c r="F92" s="122">
        <f>'[1]5100'!G5+'[2]5100'!G5</f>
        <v>7908002.62</v>
      </c>
      <c r="G92" s="122">
        <f>'[1]5100'!H5+'[2]5100'!H5</f>
        <v>7908002.02</v>
      </c>
      <c r="H92" s="122">
        <f>'[1]5100'!I5+'[2]5100'!I5</f>
        <v>319203.72000000003</v>
      </c>
      <c r="I92" s="122">
        <f>'[1]5100'!J5+'[2]5100'!J5</f>
        <v>7769216.039999999</v>
      </c>
      <c r="J92" s="122">
        <f>'[1]5100'!K5+'[2]5100'!K5</f>
        <v>138785.97</v>
      </c>
    </row>
    <row r="93" spans="1:10" ht="12.95" customHeight="1" hidden="1">
      <c r="A93" s="3"/>
      <c r="B93" s="162" t="s">
        <v>241</v>
      </c>
      <c r="C93" s="122">
        <f>'[1]5100'!D6+'[2]5100'!D6</f>
        <v>5400706.79</v>
      </c>
      <c r="D93" s="122">
        <f>'[1]5100'!E6+'[2]5100'!E6</f>
        <v>1351000.73</v>
      </c>
      <c r="E93" s="122">
        <f>'[1]5100'!F6+'[2]5100'!F6</f>
        <v>6751707.52</v>
      </c>
      <c r="F93" s="122">
        <f>'[1]5100'!G6+'[2]5100'!G6</f>
        <v>6335171.28</v>
      </c>
      <c r="G93" s="122">
        <f>'[1]5100'!H6+'[2]5100'!H6</f>
        <v>6206962.49</v>
      </c>
      <c r="H93" s="122">
        <f>'[1]5100'!I6+'[2]5100'!I6</f>
        <v>544745.03</v>
      </c>
      <c r="I93" s="122">
        <f>'[1]5100'!J6+'[2]5100'!J6</f>
        <v>5520597.340000001</v>
      </c>
      <c r="J93" s="122">
        <f>'[1]5100'!K6+'[2]5100'!K6</f>
        <v>686365.14</v>
      </c>
    </row>
    <row r="94" spans="1:10" ht="12.95" customHeight="1" hidden="1">
      <c r="A94" s="3"/>
      <c r="B94" s="162" t="s">
        <v>242</v>
      </c>
      <c r="C94" s="122">
        <f>'[1]5100'!D7+'[2]5100'!D7</f>
        <v>48080.97</v>
      </c>
      <c r="D94" s="122">
        <f>'[1]5100'!E7+'[2]5100'!E7</f>
        <v>78131.57</v>
      </c>
      <c r="E94" s="122">
        <f>'[1]5100'!F7+'[2]5100'!F7</f>
        <v>126212.54</v>
      </c>
      <c r="F94" s="122">
        <f>'[1]5100'!G7+'[2]5100'!G7</f>
        <v>109874.99</v>
      </c>
      <c r="G94" s="122">
        <f>'[1]5100'!H7+'[2]5100'!H7</f>
        <v>109874.99</v>
      </c>
      <c r="H94" s="122">
        <f>'[1]5100'!I7+'[2]5100'!I7</f>
        <v>16337.55</v>
      </c>
      <c r="I94" s="122">
        <f>'[1]5100'!J7+'[2]5100'!J7</f>
        <v>87379.37</v>
      </c>
      <c r="J94" s="122">
        <f>'[1]5100'!K7+'[2]5100'!K7</f>
        <v>22495.62</v>
      </c>
    </row>
    <row r="95" spans="1:10" ht="12.95" customHeight="1" hidden="1">
      <c r="A95" s="3"/>
      <c r="B95" s="162" t="s">
        <v>243</v>
      </c>
      <c r="C95" s="122">
        <f>'[1]5100'!D8+'[2]5100'!D8</f>
        <v>1857127.4</v>
      </c>
      <c r="D95" s="122">
        <f>'[1]5100'!E8+'[2]5100'!E8</f>
        <v>630798.63</v>
      </c>
      <c r="E95" s="122">
        <f>'[1]5100'!F8+'[2]5100'!F8</f>
        <v>2487926.0300000003</v>
      </c>
      <c r="F95" s="122">
        <f>'[1]5100'!G8+'[2]5100'!G8</f>
        <v>2350679.41</v>
      </c>
      <c r="G95" s="122">
        <f>'[1]5100'!H8+'[2]5100'!H8</f>
        <v>2019320.01</v>
      </c>
      <c r="H95" s="122">
        <f>'[1]5100'!I8+'[2]5100'!I8</f>
        <v>468606.01</v>
      </c>
      <c r="I95" s="122">
        <f>'[1]5100'!J8+'[2]5100'!J8</f>
        <v>1592879.0699999998</v>
      </c>
      <c r="J95" s="122">
        <f>'[1]5100'!K8+'[2]5100'!K8</f>
        <v>426440.94</v>
      </c>
    </row>
    <row r="96" spans="1:10" ht="12.95" customHeight="1" hidden="1">
      <c r="A96" s="3"/>
      <c r="B96" s="162" t="s">
        <v>244</v>
      </c>
      <c r="C96" s="122">
        <f>'[1]5100'!D9+'[2]5100'!D9</f>
        <v>3637619.75</v>
      </c>
      <c r="D96" s="122">
        <f>'[1]5100'!E9+'[2]5100'!E9</f>
        <v>134940.79</v>
      </c>
      <c r="E96" s="122">
        <f>'[1]5100'!F9+'[2]5100'!F9</f>
        <v>3772560.54</v>
      </c>
      <c r="F96" s="122">
        <f>'[1]5100'!G9+'[2]5100'!G9</f>
        <v>3732504</v>
      </c>
      <c r="G96" s="122">
        <f>'[1]5100'!H9+'[2]5100'!H9</f>
        <v>3294468.9299999997</v>
      </c>
      <c r="H96" s="122">
        <f>'[1]5100'!I9+'[2]5100'!I9</f>
        <v>478091.61</v>
      </c>
      <c r="I96" s="122">
        <f>'[1]5100'!J9+'[2]5100'!J9</f>
        <v>2970942.32</v>
      </c>
      <c r="J96" s="122">
        <f>'[1]5100'!K9+'[2]5100'!K9</f>
        <v>323526.61</v>
      </c>
    </row>
    <row r="97" spans="1:10" ht="12.95" customHeight="1" hidden="1">
      <c r="A97" s="3"/>
      <c r="B97" s="162" t="s">
        <v>245</v>
      </c>
      <c r="C97" s="122">
        <f>'[1]5100'!D10+'[2]5100'!D10</f>
        <v>1202024.21</v>
      </c>
      <c r="D97" s="122">
        <f>'[1]5100'!E10+'[2]5100'!E10</f>
        <v>-645199.73</v>
      </c>
      <c r="E97" s="122">
        <f>'[1]5100'!F10+'[2]5100'!F10</f>
        <v>556824.48</v>
      </c>
      <c r="F97" s="122">
        <f>'[1]5100'!G10+'[2]5100'!G10</f>
        <v>331328.4</v>
      </c>
      <c r="G97" s="122">
        <f>'[1]5100'!H10+'[2]5100'!H10</f>
        <v>144242.91</v>
      </c>
      <c r="H97" s="122">
        <f>'[1]5100'!I10+'[2]5100'!I10</f>
        <v>412581.58</v>
      </c>
      <c r="I97" s="122">
        <f>'[1]5100'!J10+'[2]5100'!J10</f>
        <v>144242.91</v>
      </c>
      <c r="J97" s="122">
        <f>'[1]5100'!K10+'[2]5100'!K10</f>
        <v>0</v>
      </c>
    </row>
    <row r="98" spans="1:10" ht="12.95" customHeight="1" hidden="1">
      <c r="A98" s="3"/>
      <c r="B98" s="162" t="s">
        <v>246</v>
      </c>
      <c r="C98" s="122">
        <f>'[1]5100'!D11+'[2]5100'!D11</f>
        <v>0</v>
      </c>
      <c r="D98" s="122">
        <f>'[1]5100'!E11+'[2]5100'!E11</f>
        <v>0</v>
      </c>
      <c r="E98" s="122">
        <f>'[1]5100'!F11+'[2]5100'!F11</f>
        <v>0</v>
      </c>
      <c r="F98" s="122">
        <f>'[1]5100'!G11+'[2]5100'!G11</f>
        <v>0</v>
      </c>
      <c r="G98" s="122">
        <f>'[1]5100'!H11+'[2]5100'!H11</f>
        <v>0</v>
      </c>
      <c r="H98" s="122">
        <f>'[1]5100'!I11+'[2]5100'!I11</f>
        <v>0</v>
      </c>
      <c r="I98" s="122">
        <f>'[1]5100'!J11+'[2]5100'!J11</f>
        <v>0</v>
      </c>
      <c r="J98" s="122">
        <f>'[1]5100'!K11+'[2]5100'!K11</f>
        <v>0</v>
      </c>
    </row>
    <row r="99" spans="1:10" ht="12.95" customHeight="1" hidden="1">
      <c r="A99" s="3"/>
      <c r="B99" s="162" t="s">
        <v>247</v>
      </c>
      <c r="C99" s="122">
        <f>'[1]5100'!D12+'[2]5100'!D12</f>
        <v>0</v>
      </c>
      <c r="D99" s="122">
        <f>'[1]5100'!E12+'[2]5100'!E12</f>
        <v>0</v>
      </c>
      <c r="E99" s="122">
        <f>'[1]5100'!F12+'[2]5100'!F12</f>
        <v>0</v>
      </c>
      <c r="F99" s="122">
        <f>'[1]5100'!G12+'[2]5100'!G12</f>
        <v>0</v>
      </c>
      <c r="G99" s="122">
        <f>'[1]5100'!H12+'[2]5100'!H12</f>
        <v>0</v>
      </c>
      <c r="H99" s="122">
        <f>'[1]5100'!I12+'[2]5100'!I12</f>
        <v>0</v>
      </c>
      <c r="I99" s="122">
        <f>'[1]5100'!J12+'[2]5100'!J12</f>
        <v>0</v>
      </c>
      <c r="J99" s="122">
        <f>'[1]5100'!K12+'[2]5100'!K12</f>
        <v>0</v>
      </c>
    </row>
    <row r="100" spans="1:10" ht="12.95" customHeight="1" hidden="1" thickBot="1">
      <c r="A100" s="3"/>
      <c r="B100" s="163" t="s">
        <v>248</v>
      </c>
      <c r="C100" s="164">
        <f aca="true" t="shared" si="17" ref="C100:J100">SUM(C92:C99)</f>
        <v>19982204.03</v>
      </c>
      <c r="D100" s="164">
        <f t="shared" si="17"/>
        <v>1940232.8200000003</v>
      </c>
      <c r="E100" s="164">
        <f t="shared" si="17"/>
        <v>21922436.849999998</v>
      </c>
      <c r="F100" s="164">
        <f t="shared" si="17"/>
        <v>20767560.7</v>
      </c>
      <c r="G100" s="164">
        <f t="shared" si="17"/>
        <v>19682871.349999998</v>
      </c>
      <c r="H100" s="164">
        <f t="shared" si="17"/>
        <v>2239565.5</v>
      </c>
      <c r="I100" s="164">
        <f t="shared" si="17"/>
        <v>18085257.049999997</v>
      </c>
      <c r="J100" s="165">
        <f t="shared" si="17"/>
        <v>1597614.2799999998</v>
      </c>
    </row>
    <row r="101" ht="12.95" customHeight="1" hidden="1">
      <c r="A101" s="3"/>
    </row>
    <row r="102" ht="12.95" customHeight="1" hidden="1" thickBot="1">
      <c r="A102" s="3"/>
    </row>
    <row r="103" spans="1:9" ht="12.95" customHeight="1" hidden="1">
      <c r="A103" s="3"/>
      <c r="B103" s="149" t="s">
        <v>263</v>
      </c>
      <c r="C103" s="170" t="s">
        <v>249</v>
      </c>
      <c r="D103" s="171"/>
      <c r="E103" s="172"/>
      <c r="F103" s="150" t="s">
        <v>250</v>
      </c>
      <c r="G103" s="150" t="s">
        <v>251</v>
      </c>
      <c r="H103" s="150" t="s">
        <v>252</v>
      </c>
      <c r="I103" s="151" t="s">
        <v>253</v>
      </c>
    </row>
    <row r="104" spans="1:9" ht="12.95" customHeight="1" hidden="1">
      <c r="A104" s="3"/>
      <c r="B104" s="152"/>
      <c r="C104" s="153" t="s">
        <v>229</v>
      </c>
      <c r="D104" s="153" t="s">
        <v>230</v>
      </c>
      <c r="E104" s="153" t="s">
        <v>231</v>
      </c>
      <c r="F104" s="154"/>
      <c r="G104" s="154"/>
      <c r="H104" s="154"/>
      <c r="I104" s="155"/>
    </row>
    <row r="105" spans="1:9" ht="12.95" customHeight="1" hidden="1">
      <c r="A105" s="3"/>
      <c r="B105" s="156"/>
      <c r="C105" s="157" t="s">
        <v>232</v>
      </c>
      <c r="D105" s="157" t="s">
        <v>233</v>
      </c>
      <c r="E105" s="157" t="s">
        <v>234</v>
      </c>
      <c r="F105" s="158" t="s">
        <v>236</v>
      </c>
      <c r="G105" s="158" t="s">
        <v>235</v>
      </c>
      <c r="H105" s="158" t="s">
        <v>237</v>
      </c>
      <c r="I105" s="159" t="s">
        <v>238</v>
      </c>
    </row>
    <row r="106" spans="1:9" ht="12.95" customHeight="1" hidden="1">
      <c r="A106" s="3"/>
      <c r="B106" s="160" t="s">
        <v>254</v>
      </c>
      <c r="C106" s="122">
        <f>'[1]5100'!D19+'[2]5100'!D19</f>
        <v>0</v>
      </c>
      <c r="D106" s="122">
        <f>'[1]5100'!E19+'[2]5100'!E19</f>
        <v>0</v>
      </c>
      <c r="E106" s="122">
        <f>'[1]5100'!F19+'[2]5100'!F19</f>
        <v>0</v>
      </c>
      <c r="F106" s="122">
        <f>'[1]5100'!G19+'[2]5100'!G19</f>
        <v>0</v>
      </c>
      <c r="G106" s="122">
        <f>'[1]5100'!H19+'[2]5100'!H19</f>
        <v>0</v>
      </c>
      <c r="H106" s="122">
        <f>'[1]5100'!I19+'[2]5100'!I19</f>
        <v>0</v>
      </c>
      <c r="I106" s="122">
        <f>'[1]5100'!J19+'[2]5100'!J19</f>
        <v>0</v>
      </c>
    </row>
    <row r="107" spans="1:9" ht="12.95" customHeight="1" hidden="1">
      <c r="A107" s="3"/>
      <c r="B107" s="162" t="s">
        <v>255</v>
      </c>
      <c r="C107" s="122">
        <f>'[1]5100'!D20+'[2]5100'!D20</f>
        <v>0</v>
      </c>
      <c r="D107" s="122">
        <f>'[1]5100'!E20+'[2]5100'!E20</f>
        <v>0</v>
      </c>
      <c r="E107" s="122">
        <f>'[1]5100'!F20+'[2]5100'!F20</f>
        <v>0</v>
      </c>
      <c r="F107" s="122">
        <f>'[1]5100'!G20+'[2]5100'!G20</f>
        <v>0</v>
      </c>
      <c r="G107" s="122">
        <f>'[1]5100'!H20+'[2]5100'!H20</f>
        <v>0</v>
      </c>
      <c r="H107" s="122">
        <f>'[1]5100'!I20+'[2]5100'!I20</f>
        <v>0</v>
      </c>
      <c r="I107" s="122">
        <f>'[1]5100'!J20+'[2]5100'!J20</f>
        <v>0</v>
      </c>
    </row>
    <row r="108" spans="1:9" ht="12.95" customHeight="1" hidden="1">
      <c r="A108" s="3"/>
      <c r="B108" s="162" t="s">
        <v>256</v>
      </c>
      <c r="C108" s="122">
        <f>'[1]5100'!D21+'[2]5100'!D21</f>
        <v>1586275.29</v>
      </c>
      <c r="D108" s="122">
        <f>'[1]5100'!E21+'[2]5100'!E21</f>
        <v>38968.15</v>
      </c>
      <c r="E108" s="122">
        <f>'[1]5100'!F21+'[2]5100'!F21</f>
        <v>1625243.43</v>
      </c>
      <c r="F108" s="122">
        <f>'[1]5100'!G21+'[2]5100'!G21</f>
        <v>59236.909999999996</v>
      </c>
      <c r="G108" s="122">
        <f>'[1]5100'!H21+'[2]5100'!H21</f>
        <v>253752.25</v>
      </c>
      <c r="H108" s="122">
        <f>'[1]5100'!I21+'[2]5100'!I21</f>
        <v>0</v>
      </c>
      <c r="I108" s="122">
        <f>'[1]5100'!J21+'[2]5100'!J21</f>
        <v>-194515.34</v>
      </c>
    </row>
    <row r="109" spans="1:9" ht="12.95" customHeight="1" hidden="1">
      <c r="A109" s="3"/>
      <c r="B109" s="162" t="s">
        <v>243</v>
      </c>
      <c r="C109" s="122">
        <f>'[1]5100'!D22+'[2]5100'!D22</f>
        <v>13679456.2</v>
      </c>
      <c r="D109" s="122">
        <f>'[1]5100'!E22+'[2]5100'!E22</f>
        <v>2046967.6600000001</v>
      </c>
      <c r="E109" s="122">
        <f>'[1]5100'!F22+'[2]5100'!F22</f>
        <v>15726423.86</v>
      </c>
      <c r="F109" s="122">
        <f>'[1]5100'!G22+'[2]5100'!G22</f>
        <v>13152401.190000001</v>
      </c>
      <c r="G109" s="122">
        <f>'[1]5100'!H22+'[2]5100'!H22</f>
        <v>13424752.17</v>
      </c>
      <c r="H109" s="122">
        <f>'[1]5100'!I22+'[2]5100'!I22</f>
        <v>1173958.09</v>
      </c>
      <c r="I109" s="122">
        <f>'[1]5100'!J22+'[2]5100'!J22</f>
        <v>-272350.97000000003</v>
      </c>
    </row>
    <row r="110" spans="1:9" ht="12.95" customHeight="1" hidden="1">
      <c r="A110" s="3"/>
      <c r="B110" s="162" t="s">
        <v>257</v>
      </c>
      <c r="C110" s="122">
        <f>'[1]5100'!D23+'[2]5100'!D23</f>
        <v>143371.44</v>
      </c>
      <c r="D110" s="122">
        <f>'[1]5100'!E23+'[2]5100'!E23</f>
        <v>0</v>
      </c>
      <c r="E110" s="122">
        <f>'[1]5100'!F23+'[2]5100'!F23</f>
        <v>143371.44</v>
      </c>
      <c r="F110" s="122">
        <f>'[1]5100'!G23+'[2]5100'!G23</f>
        <v>180504.12</v>
      </c>
      <c r="G110" s="122">
        <f>'[1]5100'!H23+'[2]5100'!H23</f>
        <v>113635.36</v>
      </c>
      <c r="H110" s="122">
        <f>'[1]5100'!I23+'[2]5100'!I23</f>
        <v>0</v>
      </c>
      <c r="I110" s="122">
        <f>'[1]5100'!J23+'[2]5100'!J23</f>
        <v>66868.75</v>
      </c>
    </row>
    <row r="111" spans="1:9" ht="12.95" customHeight="1" hidden="1">
      <c r="A111" s="3"/>
      <c r="B111" s="162" t="s">
        <v>258</v>
      </c>
      <c r="C111" s="122">
        <f>'[1]5100'!D24+'[2]5100'!D24</f>
        <v>0</v>
      </c>
      <c r="D111" s="122">
        <f>'[1]5100'!E24+'[2]5100'!E24</f>
        <v>0</v>
      </c>
      <c r="E111" s="122">
        <f>'[1]5100'!F24+'[2]5100'!F24</f>
        <v>0</v>
      </c>
      <c r="F111" s="122">
        <f>'[1]5100'!G24+'[2]5100'!G24</f>
        <v>0</v>
      </c>
      <c r="G111" s="122">
        <f>'[1]5100'!H24+'[2]5100'!H24</f>
        <v>0</v>
      </c>
      <c r="H111" s="122">
        <f>'[1]5100'!I24+'[2]5100'!I24</f>
        <v>0</v>
      </c>
      <c r="I111" s="122">
        <f>'[1]5100'!J24+'[2]5100'!J24</f>
        <v>0</v>
      </c>
    </row>
    <row r="112" spans="1:9" ht="12.95" customHeight="1" hidden="1">
      <c r="A112" s="3"/>
      <c r="B112" s="162" t="s">
        <v>245</v>
      </c>
      <c r="C112" s="122">
        <f>'[1]5100'!D25+'[2]5100'!D25</f>
        <v>4573101.1</v>
      </c>
      <c r="D112" s="122">
        <f>'[1]5100'!E25+'[2]5100'!E25</f>
        <v>-493176.61</v>
      </c>
      <c r="E112" s="122">
        <f>'[1]5100'!F25+'[2]5100'!F25</f>
        <v>4079924.49</v>
      </c>
      <c r="F112" s="122">
        <f>'[1]5100'!G25+'[2]5100'!G25</f>
        <v>3951187.7</v>
      </c>
      <c r="G112" s="122">
        <f>'[1]5100'!H25+'[2]5100'!H25</f>
        <v>2855124.21</v>
      </c>
      <c r="H112" s="122">
        <f>'[1]5100'!I25+'[2]5100'!I25</f>
        <v>0</v>
      </c>
      <c r="I112" s="122">
        <f>'[1]5100'!J25+'[2]5100'!J25</f>
        <v>1096063.48</v>
      </c>
    </row>
    <row r="113" spans="1:9" ht="12.95" customHeight="1" hidden="1">
      <c r="A113" s="3"/>
      <c r="B113" s="162" t="s">
        <v>246</v>
      </c>
      <c r="C113" s="122">
        <f>'[1]5100'!D26+'[2]5100'!D26</f>
        <v>0</v>
      </c>
      <c r="D113" s="122">
        <f>'[1]5100'!E26+'[2]5100'!E26</f>
        <v>347473.02</v>
      </c>
      <c r="E113" s="122">
        <f>'[1]5100'!F26+'[2]5100'!F26</f>
        <v>347473.02</v>
      </c>
      <c r="F113" s="122">
        <f>'[1]5100'!G26+'[2]5100'!G26</f>
        <v>0</v>
      </c>
      <c r="G113" s="122">
        <f>'[1]5100'!H26+'[2]5100'!H26</f>
        <v>0</v>
      </c>
      <c r="H113" s="122">
        <f>'[1]5100'!I26+'[2]5100'!I26</f>
        <v>0</v>
      </c>
      <c r="I113" s="122">
        <f>'[1]5100'!J26+'[2]5100'!J26</f>
        <v>0</v>
      </c>
    </row>
    <row r="114" spans="1:9" ht="12.95" customHeight="1" hidden="1">
      <c r="A114" s="3"/>
      <c r="B114" s="166" t="s">
        <v>247</v>
      </c>
      <c r="C114" s="122">
        <f>'[1]5100'!D27+'[2]5100'!D27</f>
        <v>0</v>
      </c>
      <c r="D114" s="122">
        <f>'[1]5100'!E27+'[2]5100'!E27</f>
        <v>0</v>
      </c>
      <c r="E114" s="122">
        <f>'[1]5100'!F27+'[2]5100'!F27</f>
        <v>0</v>
      </c>
      <c r="F114" s="122">
        <f>'[1]5100'!G27+'[2]5100'!G27</f>
        <v>0</v>
      </c>
      <c r="G114" s="122">
        <f>'[1]5100'!H27+'[2]5100'!H27</f>
        <v>0</v>
      </c>
      <c r="H114" s="122">
        <f>'[1]5100'!I27+'[2]5100'!I27</f>
        <v>0</v>
      </c>
      <c r="I114" s="122">
        <f>'[1]5100'!J27+'[2]5100'!J27</f>
        <v>0</v>
      </c>
    </row>
    <row r="115" spans="1:9" ht="12.95" customHeight="1" hidden="1" thickBot="1">
      <c r="A115" s="3"/>
      <c r="B115" s="163" t="s">
        <v>259</v>
      </c>
      <c r="C115" s="164">
        <f aca="true" t="shared" si="18" ref="C115:I115">SUM(C106:C114)</f>
        <v>19982204.029999997</v>
      </c>
      <c r="D115" s="164">
        <f t="shared" si="18"/>
        <v>1940232.2200000002</v>
      </c>
      <c r="E115" s="164">
        <f t="shared" si="18"/>
        <v>21922436.24</v>
      </c>
      <c r="F115" s="164">
        <f t="shared" si="18"/>
        <v>17343329.92</v>
      </c>
      <c r="G115" s="164">
        <f t="shared" si="18"/>
        <v>16647263.989999998</v>
      </c>
      <c r="H115" s="164">
        <f t="shared" si="18"/>
        <v>1173958.09</v>
      </c>
      <c r="I115" s="165">
        <f t="shared" si="18"/>
        <v>696065.9199999999</v>
      </c>
    </row>
    <row r="116" ht="12.95" customHeight="1" hidden="1">
      <c r="A116" s="3"/>
    </row>
    <row r="117" ht="12.95" customHeight="1" hidden="1">
      <c r="A117" s="3"/>
    </row>
    <row r="118" ht="12.95" customHeight="1" hidden="1" thickBot="1">
      <c r="A118" s="3"/>
    </row>
    <row r="119" spans="1:10" ht="15" customHeight="1" hidden="1">
      <c r="A119" s="3"/>
      <c r="B119" s="225" t="s">
        <v>260</v>
      </c>
      <c r="C119" s="228" t="s">
        <v>223</v>
      </c>
      <c r="D119" s="228"/>
      <c r="E119" s="228"/>
      <c r="F119" s="228" t="s">
        <v>224</v>
      </c>
      <c r="G119" s="228" t="s">
        <v>225</v>
      </c>
      <c r="H119" s="228" t="s">
        <v>226</v>
      </c>
      <c r="I119" s="228" t="s">
        <v>227</v>
      </c>
      <c r="J119" s="223" t="s">
        <v>228</v>
      </c>
    </row>
    <row r="120" spans="2:10" ht="12.75" hidden="1">
      <c r="B120" s="226"/>
      <c r="C120" s="153" t="s">
        <v>229</v>
      </c>
      <c r="D120" s="153" t="s">
        <v>230</v>
      </c>
      <c r="E120" s="153" t="s">
        <v>231</v>
      </c>
      <c r="F120" s="229"/>
      <c r="G120" s="229"/>
      <c r="H120" s="229"/>
      <c r="I120" s="229"/>
      <c r="J120" s="224"/>
    </row>
    <row r="121" spans="2:10" ht="12.75" hidden="1">
      <c r="B121" s="227"/>
      <c r="C121" s="157" t="s">
        <v>232</v>
      </c>
      <c r="D121" s="157" t="s">
        <v>233</v>
      </c>
      <c r="E121" s="157" t="s">
        <v>234</v>
      </c>
      <c r="F121" s="158" t="s">
        <v>235</v>
      </c>
      <c r="G121" s="158" t="s">
        <v>236</v>
      </c>
      <c r="H121" s="158" t="s">
        <v>237</v>
      </c>
      <c r="I121" s="158" t="s">
        <v>238</v>
      </c>
      <c r="J121" s="159" t="s">
        <v>239</v>
      </c>
    </row>
    <row r="122" spans="2:10" ht="12.75" hidden="1">
      <c r="B122" s="160" t="s">
        <v>240</v>
      </c>
      <c r="C122" s="161">
        <v>0</v>
      </c>
      <c r="D122" s="161">
        <v>0</v>
      </c>
      <c r="E122" s="161">
        <v>0</v>
      </c>
      <c r="F122" s="161">
        <v>0</v>
      </c>
      <c r="G122" s="161">
        <v>0</v>
      </c>
      <c r="H122" s="161">
        <v>0</v>
      </c>
      <c r="I122" s="161">
        <v>0</v>
      </c>
      <c r="J122" s="161">
        <v>0</v>
      </c>
    </row>
    <row r="123" spans="2:10" ht="12.75" hidden="1">
      <c r="B123" s="162" t="s">
        <v>241</v>
      </c>
      <c r="C123" s="161">
        <v>0</v>
      </c>
      <c r="D123" s="161">
        <v>0</v>
      </c>
      <c r="E123" s="161">
        <v>0</v>
      </c>
      <c r="F123" s="161">
        <v>0</v>
      </c>
      <c r="G123" s="161">
        <v>0</v>
      </c>
      <c r="H123" s="161">
        <v>0</v>
      </c>
      <c r="I123" s="161">
        <v>0</v>
      </c>
      <c r="J123" s="161">
        <v>0</v>
      </c>
    </row>
    <row r="124" spans="2:10" ht="12.75" hidden="1">
      <c r="B124" s="162" t="s">
        <v>242</v>
      </c>
      <c r="C124" s="161">
        <v>0</v>
      </c>
      <c r="D124" s="161">
        <v>0</v>
      </c>
      <c r="E124" s="161">
        <v>0</v>
      </c>
      <c r="F124" s="161">
        <v>0</v>
      </c>
      <c r="G124" s="161">
        <v>0</v>
      </c>
      <c r="H124" s="161">
        <v>0</v>
      </c>
      <c r="I124" s="161">
        <v>0</v>
      </c>
      <c r="J124" s="161">
        <v>0</v>
      </c>
    </row>
    <row r="125" spans="2:10" ht="12.75" hidden="1">
      <c r="B125" s="162" t="s">
        <v>243</v>
      </c>
      <c r="C125" s="161">
        <v>0</v>
      </c>
      <c r="D125" s="161">
        <v>0</v>
      </c>
      <c r="E125" s="161">
        <v>0</v>
      </c>
      <c r="F125" s="161">
        <v>0</v>
      </c>
      <c r="G125" s="161">
        <v>0</v>
      </c>
      <c r="H125" s="161">
        <v>0</v>
      </c>
      <c r="I125" s="161">
        <v>0</v>
      </c>
      <c r="J125" s="161">
        <v>0</v>
      </c>
    </row>
    <row r="126" spans="2:10" ht="12.75" hidden="1">
      <c r="B126" s="162" t="s">
        <v>244</v>
      </c>
      <c r="C126" s="161">
        <v>0</v>
      </c>
      <c r="D126" s="161">
        <v>0</v>
      </c>
      <c r="E126" s="161">
        <v>0</v>
      </c>
      <c r="F126" s="161">
        <v>0</v>
      </c>
      <c r="G126" s="161">
        <v>0</v>
      </c>
      <c r="H126" s="161">
        <v>0</v>
      </c>
      <c r="I126" s="161">
        <v>0</v>
      </c>
      <c r="J126" s="161">
        <v>0</v>
      </c>
    </row>
    <row r="127" spans="2:10" ht="12.75" hidden="1">
      <c r="B127" s="162" t="s">
        <v>245</v>
      </c>
      <c r="C127" s="161">
        <v>0</v>
      </c>
      <c r="D127" s="161">
        <v>0</v>
      </c>
      <c r="E127" s="161">
        <v>0</v>
      </c>
      <c r="F127" s="161">
        <v>0</v>
      </c>
      <c r="G127" s="161">
        <v>0</v>
      </c>
      <c r="H127" s="161">
        <v>0</v>
      </c>
      <c r="I127" s="161">
        <v>0</v>
      </c>
      <c r="J127" s="161">
        <v>0</v>
      </c>
    </row>
    <row r="128" spans="2:10" ht="12.75" hidden="1">
      <c r="B128" s="162" t="s">
        <v>246</v>
      </c>
      <c r="C128" s="161">
        <v>0</v>
      </c>
      <c r="D128" s="161">
        <v>0</v>
      </c>
      <c r="E128" s="161">
        <v>0</v>
      </c>
      <c r="F128" s="161">
        <v>0</v>
      </c>
      <c r="G128" s="161">
        <v>0</v>
      </c>
      <c r="H128" s="161">
        <v>0</v>
      </c>
      <c r="I128" s="161">
        <v>0</v>
      </c>
      <c r="J128" s="161">
        <v>0</v>
      </c>
    </row>
    <row r="129" spans="2:10" ht="12.75" hidden="1">
      <c r="B129" s="162" t="s">
        <v>247</v>
      </c>
      <c r="C129" s="161">
        <v>0</v>
      </c>
      <c r="D129" s="161">
        <v>0</v>
      </c>
      <c r="E129" s="161">
        <v>0</v>
      </c>
      <c r="F129" s="161">
        <v>0</v>
      </c>
      <c r="G129" s="161">
        <v>0</v>
      </c>
      <c r="H129" s="161">
        <v>0</v>
      </c>
      <c r="I129" s="161">
        <v>0</v>
      </c>
      <c r="J129" s="161">
        <v>0</v>
      </c>
    </row>
    <row r="130" spans="2:10" ht="13.5" hidden="1" thickBot="1">
      <c r="B130" s="163" t="s">
        <v>248</v>
      </c>
      <c r="C130" s="164">
        <f aca="true" t="shared" si="19" ref="C130:J130">SUM(C122:C129)</f>
        <v>0</v>
      </c>
      <c r="D130" s="164">
        <f t="shared" si="19"/>
        <v>0</v>
      </c>
      <c r="E130" s="164">
        <f t="shared" si="19"/>
        <v>0</v>
      </c>
      <c r="F130" s="164">
        <f t="shared" si="19"/>
        <v>0</v>
      </c>
      <c r="G130" s="164">
        <f t="shared" si="19"/>
        <v>0</v>
      </c>
      <c r="H130" s="164">
        <f t="shared" si="19"/>
        <v>0</v>
      </c>
      <c r="I130" s="164">
        <f t="shared" si="19"/>
        <v>0</v>
      </c>
      <c r="J130" s="165">
        <f t="shared" si="19"/>
        <v>0</v>
      </c>
    </row>
    <row r="131" ht="12.75" hidden="1"/>
    <row r="132" ht="13.5" hidden="1" thickBot="1"/>
    <row r="133" spans="2:9" ht="76.5" hidden="1">
      <c r="B133" s="149" t="s">
        <v>261</v>
      </c>
      <c r="C133" s="170" t="s">
        <v>249</v>
      </c>
      <c r="D133" s="171"/>
      <c r="E133" s="172"/>
      <c r="F133" s="150" t="s">
        <v>250</v>
      </c>
      <c r="G133" s="150" t="s">
        <v>251</v>
      </c>
      <c r="H133" s="150" t="s">
        <v>252</v>
      </c>
      <c r="I133" s="151" t="s">
        <v>253</v>
      </c>
    </row>
    <row r="134" spans="2:9" ht="12.75" hidden="1">
      <c r="B134" s="152"/>
      <c r="C134" s="153" t="s">
        <v>229</v>
      </c>
      <c r="D134" s="153" t="s">
        <v>230</v>
      </c>
      <c r="E134" s="153" t="s">
        <v>231</v>
      </c>
      <c r="F134" s="154"/>
      <c r="G134" s="154"/>
      <c r="H134" s="154"/>
      <c r="I134" s="155"/>
    </row>
    <row r="135" spans="2:9" ht="12.75" hidden="1">
      <c r="B135" s="156"/>
      <c r="C135" s="157" t="s">
        <v>232</v>
      </c>
      <c r="D135" s="157" t="s">
        <v>233</v>
      </c>
      <c r="E135" s="157" t="s">
        <v>234</v>
      </c>
      <c r="F135" s="158" t="s">
        <v>236</v>
      </c>
      <c r="G135" s="158" t="s">
        <v>235</v>
      </c>
      <c r="H135" s="158" t="s">
        <v>237</v>
      </c>
      <c r="I135" s="159" t="s">
        <v>238</v>
      </c>
    </row>
    <row r="136" spans="2:9" ht="12.75" hidden="1">
      <c r="B136" s="160" t="s">
        <v>254</v>
      </c>
      <c r="C136" s="161">
        <v>0</v>
      </c>
      <c r="D136" s="161">
        <v>0</v>
      </c>
      <c r="E136" s="161">
        <v>0</v>
      </c>
      <c r="F136" s="161">
        <v>0</v>
      </c>
      <c r="G136" s="161">
        <v>0</v>
      </c>
      <c r="H136" s="161">
        <v>0</v>
      </c>
      <c r="I136" s="161">
        <v>0</v>
      </c>
    </row>
    <row r="137" spans="2:9" ht="12.75" hidden="1">
      <c r="B137" s="162" t="s">
        <v>255</v>
      </c>
      <c r="C137" s="161">
        <v>0</v>
      </c>
      <c r="D137" s="161">
        <v>0</v>
      </c>
      <c r="E137" s="161">
        <v>0</v>
      </c>
      <c r="F137" s="161">
        <v>0</v>
      </c>
      <c r="G137" s="161">
        <v>0</v>
      </c>
      <c r="H137" s="161">
        <v>0</v>
      </c>
      <c r="I137" s="161">
        <v>0</v>
      </c>
    </row>
    <row r="138" spans="2:9" ht="12.75" hidden="1">
      <c r="B138" s="162" t="s">
        <v>256</v>
      </c>
      <c r="C138" s="161">
        <v>0</v>
      </c>
      <c r="D138" s="161">
        <v>0</v>
      </c>
      <c r="E138" s="161">
        <v>0</v>
      </c>
      <c r="F138" s="161">
        <v>0</v>
      </c>
      <c r="G138" s="161">
        <v>0</v>
      </c>
      <c r="H138" s="161">
        <v>0</v>
      </c>
      <c r="I138" s="161">
        <v>0</v>
      </c>
    </row>
    <row r="139" spans="2:9" ht="12.75" hidden="1">
      <c r="B139" s="162" t="s">
        <v>243</v>
      </c>
      <c r="C139" s="161">
        <v>0</v>
      </c>
      <c r="D139" s="161">
        <v>0</v>
      </c>
      <c r="E139" s="161">
        <v>0</v>
      </c>
      <c r="F139" s="161">
        <v>0</v>
      </c>
      <c r="G139" s="161">
        <v>0</v>
      </c>
      <c r="H139" s="161">
        <v>0</v>
      </c>
      <c r="I139" s="161">
        <v>0</v>
      </c>
    </row>
    <row r="140" spans="2:9" ht="12.75" hidden="1">
      <c r="B140" s="162" t="s">
        <v>257</v>
      </c>
      <c r="C140" s="161">
        <v>0</v>
      </c>
      <c r="D140" s="161">
        <v>0</v>
      </c>
      <c r="E140" s="161">
        <v>0</v>
      </c>
      <c r="F140" s="161">
        <v>0</v>
      </c>
      <c r="G140" s="161">
        <v>0</v>
      </c>
      <c r="H140" s="161">
        <v>0</v>
      </c>
      <c r="I140" s="161">
        <v>0</v>
      </c>
    </row>
    <row r="141" spans="2:9" ht="12.75" hidden="1">
      <c r="B141" s="162" t="s">
        <v>258</v>
      </c>
      <c r="C141" s="161">
        <v>0</v>
      </c>
      <c r="D141" s="161">
        <v>0</v>
      </c>
      <c r="E141" s="161">
        <v>0</v>
      </c>
      <c r="F141" s="161">
        <v>0</v>
      </c>
      <c r="G141" s="161">
        <v>0</v>
      </c>
      <c r="H141" s="161">
        <v>0</v>
      </c>
      <c r="I141" s="161">
        <v>0</v>
      </c>
    </row>
    <row r="142" spans="2:9" ht="12.75" hidden="1">
      <c r="B142" s="162" t="s">
        <v>245</v>
      </c>
      <c r="C142" s="161">
        <v>0</v>
      </c>
      <c r="D142" s="161">
        <v>0</v>
      </c>
      <c r="E142" s="161">
        <v>0</v>
      </c>
      <c r="F142" s="161">
        <v>0</v>
      </c>
      <c r="G142" s="161">
        <v>0</v>
      </c>
      <c r="H142" s="161">
        <v>0</v>
      </c>
      <c r="I142" s="161">
        <v>0</v>
      </c>
    </row>
    <row r="143" spans="2:9" ht="12.75" hidden="1">
      <c r="B143" s="162" t="s">
        <v>246</v>
      </c>
      <c r="C143" s="161">
        <v>0</v>
      </c>
      <c r="D143" s="161">
        <v>0</v>
      </c>
      <c r="E143" s="161">
        <v>0</v>
      </c>
      <c r="F143" s="161">
        <v>0</v>
      </c>
      <c r="G143" s="161">
        <v>0</v>
      </c>
      <c r="H143" s="161">
        <v>0</v>
      </c>
      <c r="I143" s="161">
        <v>0</v>
      </c>
    </row>
    <row r="144" spans="2:9" ht="12.75" hidden="1">
      <c r="B144" s="166" t="s">
        <v>247</v>
      </c>
      <c r="C144" s="161">
        <v>0</v>
      </c>
      <c r="D144" s="161">
        <v>0</v>
      </c>
      <c r="E144" s="161">
        <v>0</v>
      </c>
      <c r="F144" s="161">
        <v>0</v>
      </c>
      <c r="G144" s="161">
        <v>0</v>
      </c>
      <c r="H144" s="161">
        <v>0</v>
      </c>
      <c r="I144" s="161">
        <v>0</v>
      </c>
    </row>
    <row r="145" spans="2:9" ht="13.5" hidden="1" thickBot="1">
      <c r="B145" s="163" t="s">
        <v>259</v>
      </c>
      <c r="C145" s="164">
        <f aca="true" t="shared" si="20" ref="C145:I145">SUM(C136:C144)</f>
        <v>0</v>
      </c>
      <c r="D145" s="164">
        <f t="shared" si="20"/>
        <v>0</v>
      </c>
      <c r="E145" s="164">
        <f t="shared" si="20"/>
        <v>0</v>
      </c>
      <c r="F145" s="164">
        <f t="shared" si="20"/>
        <v>0</v>
      </c>
      <c r="G145" s="164">
        <f t="shared" si="20"/>
        <v>0</v>
      </c>
      <c r="H145" s="164">
        <f t="shared" si="20"/>
        <v>0</v>
      </c>
      <c r="I145" s="165">
        <f t="shared" si="20"/>
        <v>0</v>
      </c>
    </row>
    <row r="146" ht="12.75" hidden="1"/>
    <row r="147" ht="12.75" hidden="1"/>
    <row r="148" ht="12.75" hidden="1"/>
    <row r="149" ht="13.5" hidden="1" thickBot="1"/>
    <row r="150" spans="1:7" ht="15.75" hidden="1">
      <c r="A150" s="234" t="s">
        <v>264</v>
      </c>
      <c r="B150" s="234"/>
      <c r="C150" s="27"/>
      <c r="D150" s="133"/>
      <c r="E150" s="133"/>
      <c r="F150" s="134"/>
      <c r="G150" s="133"/>
    </row>
    <row r="151" spans="1:7" ht="47.25" hidden="1">
      <c r="A151" s="232"/>
      <c r="B151" s="232"/>
      <c r="C151" s="232"/>
      <c r="D151" s="136" t="s">
        <v>174</v>
      </c>
      <c r="E151" s="136" t="s">
        <v>175</v>
      </c>
      <c r="F151" s="33"/>
      <c r="G151" s="135" t="s">
        <v>176</v>
      </c>
    </row>
    <row r="152" spans="1:7" ht="15.75" hidden="1">
      <c r="A152" s="238" t="s">
        <v>10</v>
      </c>
      <c r="B152" s="238"/>
      <c r="C152" s="238"/>
      <c r="D152" s="136" t="s">
        <v>177</v>
      </c>
      <c r="E152" s="136" t="s">
        <v>178</v>
      </c>
      <c r="F152" s="137" t="s">
        <v>179</v>
      </c>
      <c r="G152" s="136" t="s">
        <v>180</v>
      </c>
    </row>
    <row r="153" spans="1:7" ht="15.75" hidden="1">
      <c r="A153" s="138" t="s">
        <v>181</v>
      </c>
      <c r="B153" s="115" t="s">
        <v>182</v>
      </c>
      <c r="C153" s="123"/>
      <c r="D153" s="123">
        <f>'[1]5120'!$D$4+'[2]5120'!$D$4-D154</f>
        <v>13392142.240000002</v>
      </c>
      <c r="E153" s="123">
        <f>'[1]5120'!$E$4+'[2]5120'!$E$4-E154</f>
        <v>16244159.5</v>
      </c>
      <c r="F153" s="123"/>
      <c r="G153" s="123">
        <f aca="true" t="shared" si="21" ref="G153:G159">D153-E153</f>
        <v>-2852017.259999998</v>
      </c>
    </row>
    <row r="154" spans="1:7" ht="15.75" hidden="1">
      <c r="A154" s="44" t="s">
        <v>183</v>
      </c>
      <c r="B154" s="33" t="s">
        <v>184</v>
      </c>
      <c r="C154" s="122"/>
      <c r="D154" s="122">
        <f>'[1]5100'!$G$24+'[1]5100'!$G$25+'[2]5100'!$G$24+'[2]5100'!$G$25</f>
        <v>3951187.7</v>
      </c>
      <c r="E154" s="122">
        <f>'[1]5100'!$H$9+'[1]5100'!$H$10+'[2]5100'!$H$9+'[2]5100'!$H$10</f>
        <v>3438711.84</v>
      </c>
      <c r="F154" s="122"/>
      <c r="G154" s="122">
        <f t="shared" si="21"/>
        <v>512475.86000000034</v>
      </c>
    </row>
    <row r="155" spans="1:7" ht="15.75" hidden="1">
      <c r="A155" s="44" t="s">
        <v>185</v>
      </c>
      <c r="B155" s="33" t="s">
        <v>186</v>
      </c>
      <c r="C155" s="122"/>
      <c r="D155" s="122">
        <f>'[1]5120'!D6+'[2]5120'!D6</f>
        <v>0</v>
      </c>
      <c r="E155" s="122">
        <f>'[1]5120'!E6+'[2]5120'!E6</f>
        <v>0</v>
      </c>
      <c r="F155" s="122"/>
      <c r="G155" s="122">
        <f t="shared" si="21"/>
        <v>0</v>
      </c>
    </row>
    <row r="156" spans="1:7" ht="15.75" hidden="1">
      <c r="A156" s="139" t="s">
        <v>187</v>
      </c>
      <c r="B156" s="139"/>
      <c r="C156" s="140"/>
      <c r="D156" s="140">
        <f>D153+D154+D155</f>
        <v>17343329.94</v>
      </c>
      <c r="E156" s="140">
        <f>E153+E154+E155</f>
        <v>19682871.34</v>
      </c>
      <c r="F156" s="122"/>
      <c r="G156" s="140">
        <f t="shared" si="21"/>
        <v>-2339541.3999999985</v>
      </c>
    </row>
    <row r="157" spans="1:7" ht="15.75" hidden="1">
      <c r="A157" s="44" t="s">
        <v>188</v>
      </c>
      <c r="B157" s="33" t="s">
        <v>160</v>
      </c>
      <c r="C157" s="122"/>
      <c r="D157" s="122">
        <f>'[1]5120'!D5+'[2]5120'!D5</f>
        <v>0</v>
      </c>
      <c r="E157" s="122">
        <f>'[1]5120'!E5+'[2]5120'!E5</f>
        <v>0</v>
      </c>
      <c r="F157" s="122"/>
      <c r="G157" s="122">
        <f t="shared" si="21"/>
        <v>0</v>
      </c>
    </row>
    <row r="158" spans="1:7" ht="15.75" hidden="1">
      <c r="A158" s="44" t="s">
        <v>189</v>
      </c>
      <c r="B158" s="33" t="s">
        <v>190</v>
      </c>
      <c r="C158" s="122"/>
      <c r="D158" s="122">
        <f>'[1]5120'!D8+'[2]5120'!D8</f>
        <v>0</v>
      </c>
      <c r="E158" s="122">
        <f>'[1]5120'!E8+'[2]5120'!E8</f>
        <v>0</v>
      </c>
      <c r="F158" s="122"/>
      <c r="G158" s="122">
        <f t="shared" si="21"/>
        <v>0</v>
      </c>
    </row>
    <row r="159" spans="1:7" ht="15.75" hidden="1">
      <c r="A159" s="115" t="s">
        <v>191</v>
      </c>
      <c r="B159" s="115"/>
      <c r="C159" s="123"/>
      <c r="D159" s="123">
        <f>D157+D158</f>
        <v>0</v>
      </c>
      <c r="E159" s="123">
        <f>E157+E158</f>
        <v>0</v>
      </c>
      <c r="F159" s="122"/>
      <c r="G159" s="140">
        <f t="shared" si="21"/>
        <v>0</v>
      </c>
    </row>
    <row r="160" spans="1:10" ht="15.75" hidden="1">
      <c r="A160" s="241" t="s">
        <v>192</v>
      </c>
      <c r="B160" s="241"/>
      <c r="C160" s="241"/>
      <c r="D160" s="141">
        <f>D156+D159</f>
        <v>17343329.94</v>
      </c>
      <c r="E160" s="141">
        <f>E156+E159</f>
        <v>19682871.34</v>
      </c>
      <c r="F160" s="122"/>
      <c r="G160" s="141">
        <f>G156+G159</f>
        <v>-2339541.3999999985</v>
      </c>
      <c r="J160" s="26"/>
    </row>
    <row r="161" spans="1:10" ht="15.75" hidden="1">
      <c r="A161" s="142" t="s">
        <v>193</v>
      </c>
      <c r="B161" s="33"/>
      <c r="C161" s="122"/>
      <c r="D161" s="122"/>
      <c r="E161" s="122"/>
      <c r="F161" s="122"/>
      <c r="G161" s="123"/>
      <c r="J161" s="26"/>
    </row>
    <row r="162" spans="1:7" ht="15.75" hidden="1">
      <c r="A162" s="144" t="s">
        <v>194</v>
      </c>
      <c r="B162" s="33"/>
      <c r="C162" s="122"/>
      <c r="D162" s="122"/>
      <c r="E162" s="122"/>
      <c r="F162" s="122">
        <f>'[1]5120'!F10+'[2]5120'!F10</f>
        <v>110105.41</v>
      </c>
      <c r="G162" s="122"/>
    </row>
    <row r="163" spans="1:7" ht="15.75" hidden="1">
      <c r="A163" s="144" t="s">
        <v>195</v>
      </c>
      <c r="B163" s="33"/>
      <c r="C163" s="122"/>
      <c r="D163" s="122"/>
      <c r="E163" s="122"/>
      <c r="F163" s="122">
        <f>'[1]5120'!F12+'[2]5120'!F12</f>
        <v>0</v>
      </c>
      <c r="G163" s="122"/>
    </row>
    <row r="164" spans="1:7" ht="15.75" hidden="1">
      <c r="A164" s="144" t="s">
        <v>196</v>
      </c>
      <c r="B164" s="33"/>
      <c r="C164" s="122"/>
      <c r="D164" s="122"/>
      <c r="E164" s="122"/>
      <c r="F164" s="122">
        <f>'[1]5120'!F11+'[2]5120'!F11</f>
        <v>0</v>
      </c>
      <c r="G164" s="122"/>
    </row>
    <row r="165" spans="1:7" ht="15.75" hidden="1">
      <c r="A165" s="241" t="s">
        <v>197</v>
      </c>
      <c r="B165" s="241"/>
      <c r="C165" s="241"/>
      <c r="D165" s="241"/>
      <c r="E165" s="241"/>
      <c r="F165" s="145">
        <f>F162+F163-F164</f>
        <v>110105.41</v>
      </c>
      <c r="G165" s="122"/>
    </row>
    <row r="166" spans="1:7" ht="16.5" hidden="1" thickBot="1">
      <c r="A166" s="242" t="s">
        <v>198</v>
      </c>
      <c r="B166" s="242"/>
      <c r="C166" s="242"/>
      <c r="D166" s="242"/>
      <c r="E166" s="242"/>
      <c r="F166" s="242"/>
      <c r="G166" s="146">
        <f>G160+F165</f>
        <v>-2229435.9899999984</v>
      </c>
    </row>
    <row r="167" ht="13.5" hidden="1" thickBot="1"/>
    <row r="168" spans="1:7" ht="15.75" hidden="1">
      <c r="A168" s="234" t="s">
        <v>265</v>
      </c>
      <c r="B168" s="234"/>
      <c r="C168" s="27"/>
      <c r="D168" s="133"/>
      <c r="E168" s="133"/>
      <c r="F168" s="134"/>
      <c r="G168" s="133"/>
    </row>
    <row r="169" spans="1:7" ht="47.25" hidden="1">
      <c r="A169" s="232"/>
      <c r="B169" s="232"/>
      <c r="C169" s="232"/>
      <c r="D169" s="136" t="s">
        <v>174</v>
      </c>
      <c r="E169" s="136" t="s">
        <v>175</v>
      </c>
      <c r="F169" s="33"/>
      <c r="G169" s="135" t="s">
        <v>176</v>
      </c>
    </row>
    <row r="170" spans="1:7" ht="15.75" hidden="1">
      <c r="A170" s="238" t="s">
        <v>10</v>
      </c>
      <c r="B170" s="238"/>
      <c r="C170" s="238"/>
      <c r="D170" s="136" t="s">
        <v>177</v>
      </c>
      <c r="E170" s="136" t="s">
        <v>178</v>
      </c>
      <c r="F170" s="137" t="s">
        <v>179</v>
      </c>
      <c r="G170" s="136" t="s">
        <v>180</v>
      </c>
    </row>
    <row r="171" spans="1:7" ht="15.75" hidden="1">
      <c r="A171" s="138" t="s">
        <v>181</v>
      </c>
      <c r="B171" s="115" t="s">
        <v>182</v>
      </c>
      <c r="C171" s="123"/>
      <c r="D171" s="123">
        <v>0</v>
      </c>
      <c r="E171" s="123">
        <v>0</v>
      </c>
      <c r="F171" s="123"/>
      <c r="G171" s="123">
        <f aca="true" t="shared" si="22" ref="G171:G177">D171-E171</f>
        <v>0</v>
      </c>
    </row>
    <row r="172" spans="1:7" ht="15.75" hidden="1">
      <c r="A172" s="44" t="s">
        <v>183</v>
      </c>
      <c r="B172" s="33" t="s">
        <v>184</v>
      </c>
      <c r="C172" s="122"/>
      <c r="D172" s="122">
        <v>0</v>
      </c>
      <c r="E172" s="122">
        <v>0</v>
      </c>
      <c r="F172" s="122"/>
      <c r="G172" s="122">
        <f t="shared" si="22"/>
        <v>0</v>
      </c>
    </row>
    <row r="173" spans="1:7" ht="15.75" hidden="1">
      <c r="A173" s="44" t="s">
        <v>185</v>
      </c>
      <c r="B173" s="33" t="s">
        <v>186</v>
      </c>
      <c r="C173" s="122"/>
      <c r="D173" s="122">
        <v>0</v>
      </c>
      <c r="E173" s="122">
        <v>0</v>
      </c>
      <c r="F173" s="122"/>
      <c r="G173" s="122">
        <f t="shared" si="22"/>
        <v>0</v>
      </c>
    </row>
    <row r="174" spans="1:7" ht="15.75" hidden="1">
      <c r="A174" s="139" t="s">
        <v>187</v>
      </c>
      <c r="B174" s="139"/>
      <c r="C174" s="140"/>
      <c r="D174" s="140">
        <f>D171+D172+D173</f>
        <v>0</v>
      </c>
      <c r="E174" s="140">
        <f>E171+E172+E173</f>
        <v>0</v>
      </c>
      <c r="F174" s="122"/>
      <c r="G174" s="140">
        <f t="shared" si="22"/>
        <v>0</v>
      </c>
    </row>
    <row r="175" spans="1:7" ht="15.75" hidden="1">
      <c r="A175" s="44" t="s">
        <v>188</v>
      </c>
      <c r="B175" s="33" t="s">
        <v>160</v>
      </c>
      <c r="C175" s="122"/>
      <c r="D175" s="122">
        <v>0</v>
      </c>
      <c r="E175" s="122">
        <v>0</v>
      </c>
      <c r="F175" s="122"/>
      <c r="G175" s="122">
        <f t="shared" si="22"/>
        <v>0</v>
      </c>
    </row>
    <row r="176" spans="1:7" ht="15.75" hidden="1">
      <c r="A176" s="44" t="s">
        <v>189</v>
      </c>
      <c r="B176" s="33" t="s">
        <v>190</v>
      </c>
      <c r="C176" s="122"/>
      <c r="D176" s="122">
        <v>0</v>
      </c>
      <c r="E176" s="122">
        <v>0</v>
      </c>
      <c r="F176" s="122"/>
      <c r="G176" s="122">
        <f t="shared" si="22"/>
        <v>0</v>
      </c>
    </row>
    <row r="177" spans="1:7" ht="15.75" hidden="1">
      <c r="A177" s="115" t="s">
        <v>191</v>
      </c>
      <c r="B177" s="115"/>
      <c r="C177" s="123"/>
      <c r="D177" s="123">
        <f>D175+D176</f>
        <v>0</v>
      </c>
      <c r="E177" s="123">
        <f>E175+E176</f>
        <v>0</v>
      </c>
      <c r="F177" s="122"/>
      <c r="G177" s="140">
        <f t="shared" si="22"/>
        <v>0</v>
      </c>
    </row>
    <row r="178" spans="1:10" ht="15.75" hidden="1">
      <c r="A178" s="241" t="s">
        <v>192</v>
      </c>
      <c r="B178" s="241"/>
      <c r="C178" s="241"/>
      <c r="D178" s="141">
        <f>D174+D177</f>
        <v>0</v>
      </c>
      <c r="E178" s="141">
        <f>E174+E177</f>
        <v>0</v>
      </c>
      <c r="F178" s="122"/>
      <c r="G178" s="141">
        <f>G174+G177</f>
        <v>0</v>
      </c>
      <c r="J178" s="26"/>
    </row>
    <row r="179" spans="1:7" ht="15.75" hidden="1">
      <c r="A179" s="142" t="s">
        <v>193</v>
      </c>
      <c r="B179" s="33"/>
      <c r="C179" s="122"/>
      <c r="D179" s="122"/>
      <c r="E179" s="122"/>
      <c r="F179" s="122"/>
      <c r="G179" s="123"/>
    </row>
    <row r="180" spans="1:7" ht="15.75" hidden="1">
      <c r="A180" s="144" t="s">
        <v>194</v>
      </c>
      <c r="B180" s="33"/>
      <c r="C180" s="122"/>
      <c r="D180" s="122"/>
      <c r="E180" s="122"/>
      <c r="F180" s="122">
        <v>0</v>
      </c>
      <c r="G180" s="122"/>
    </row>
    <row r="181" spans="1:7" ht="15.75" hidden="1">
      <c r="A181" s="144" t="s">
        <v>195</v>
      </c>
      <c r="B181" s="33"/>
      <c r="C181" s="122"/>
      <c r="D181" s="122"/>
      <c r="E181" s="122"/>
      <c r="F181" s="122">
        <v>0</v>
      </c>
      <c r="G181" s="122"/>
    </row>
    <row r="182" spans="1:7" ht="15.75" hidden="1">
      <c r="A182" s="144" t="s">
        <v>196</v>
      </c>
      <c r="B182" s="33"/>
      <c r="C182" s="122"/>
      <c r="D182" s="122"/>
      <c r="E182" s="122"/>
      <c r="F182" s="122">
        <v>0</v>
      </c>
      <c r="G182" s="122"/>
    </row>
    <row r="183" spans="1:7" ht="15.75" hidden="1">
      <c r="A183" s="241" t="s">
        <v>197</v>
      </c>
      <c r="B183" s="241"/>
      <c r="C183" s="241"/>
      <c r="D183" s="241"/>
      <c r="E183" s="241"/>
      <c r="F183" s="145">
        <f>F180+F181-F182</f>
        <v>0</v>
      </c>
      <c r="G183" s="122"/>
    </row>
    <row r="184" spans="1:7" ht="16.5" hidden="1" thickBot="1">
      <c r="A184" s="242" t="s">
        <v>198</v>
      </c>
      <c r="B184" s="242"/>
      <c r="C184" s="242"/>
      <c r="D184" s="242"/>
      <c r="E184" s="242"/>
      <c r="F184" s="242"/>
      <c r="G184" s="146">
        <f>G178+F183</f>
        <v>0</v>
      </c>
    </row>
    <row r="185" ht="12.75" hidden="1"/>
    <row r="186" ht="12.75" hidden="1"/>
  </sheetData>
  <sheetProtection selectLockedCells="1" selectUnlockedCells="1"/>
  <mergeCells count="56">
    <mergeCell ref="A183:E183"/>
    <mergeCell ref="A184:F184"/>
    <mergeCell ref="A47:C47"/>
    <mergeCell ref="A150:B150"/>
    <mergeCell ref="A151:C151"/>
    <mergeCell ref="A152:C152"/>
    <mergeCell ref="A160:C160"/>
    <mergeCell ref="A165:E165"/>
    <mergeCell ref="A178:C178"/>
    <mergeCell ref="A170:C170"/>
    <mergeCell ref="A80:B80"/>
    <mergeCell ref="A79:B79"/>
    <mergeCell ref="B119:B121"/>
    <mergeCell ref="C119:E119"/>
    <mergeCell ref="A166:F166"/>
    <mergeCell ref="A168:B168"/>
    <mergeCell ref="A169:C169"/>
    <mergeCell ref="A49:C49"/>
    <mergeCell ref="A29:B29"/>
    <mergeCell ref="A78:B78"/>
    <mergeCell ref="A32:B32"/>
    <mergeCell ref="A69:C69"/>
    <mergeCell ref="A62:E62"/>
    <mergeCell ref="A77:B77"/>
    <mergeCell ref="A57:C57"/>
    <mergeCell ref="A63:F63"/>
    <mergeCell ref="A71:B71"/>
    <mergeCell ref="E69:G69"/>
    <mergeCell ref="G30:M30"/>
    <mergeCell ref="C30:E30"/>
    <mergeCell ref="A76:B76"/>
    <mergeCell ref="A72:B72"/>
    <mergeCell ref="F12:M12"/>
    <mergeCell ref="A12:B12"/>
    <mergeCell ref="A24:B24"/>
    <mergeCell ref="F29:M29"/>
    <mergeCell ref="F13:M13"/>
    <mergeCell ref="C13:E13"/>
    <mergeCell ref="A73:B73"/>
    <mergeCell ref="A74:B74"/>
    <mergeCell ref="A42:B42"/>
    <mergeCell ref="A48:C48"/>
    <mergeCell ref="A75:B75"/>
    <mergeCell ref="A70:B70"/>
    <mergeCell ref="J119:J120"/>
    <mergeCell ref="J89:J90"/>
    <mergeCell ref="B89:B91"/>
    <mergeCell ref="C89:E89"/>
    <mergeCell ref="F89:F90"/>
    <mergeCell ref="G89:G90"/>
    <mergeCell ref="H89:H90"/>
    <mergeCell ref="I89:I90"/>
    <mergeCell ref="F119:F120"/>
    <mergeCell ref="G119:G120"/>
    <mergeCell ref="H119:H120"/>
    <mergeCell ref="I119:I120"/>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J197"/>
  <sheetViews>
    <sheetView zoomScale="75" zoomScaleNormal="75" workbookViewId="0" topLeftCell="A1">
      <selection activeCell="B1" sqref="B1"/>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3" width="19.28125" style="3" hidden="1" customWidth="1"/>
    <col min="14" max="16384" width="11.421875" style="3" customWidth="1"/>
  </cols>
  <sheetData>
    <row r="1" spans="1:120" ht="60" customHeight="1">
      <c r="A1" s="5"/>
      <c r="B1" s="7"/>
      <c r="C1" s="7"/>
      <c r="D1" s="9"/>
      <c r="E1" s="9"/>
      <c r="F1" s="3"/>
      <c r="G1" s="9"/>
      <c r="H1" s="7" t="s">
        <v>5</v>
      </c>
      <c r="I1" s="8">
        <f>Balance!I1</f>
        <v>1995</v>
      </c>
      <c r="J1" s="3"/>
      <c r="K1" s="3"/>
      <c r="L1" s="3"/>
      <c r="M1" s="3"/>
      <c r="N1" s="48"/>
      <c r="O1" s="48"/>
      <c r="P1" s="48"/>
      <c r="Q1" s="48"/>
      <c r="R1" s="48"/>
      <c r="S1" s="48"/>
      <c r="T1" s="48"/>
      <c r="U1" s="48"/>
      <c r="V1" s="48"/>
      <c r="W1" s="48"/>
      <c r="X1" s="48"/>
      <c r="Y1" s="48"/>
      <c r="Z1" s="48"/>
      <c r="AA1" s="48"/>
      <c r="AB1" s="48"/>
      <c r="AC1" s="48"/>
      <c r="AD1" s="48"/>
      <c r="AE1" s="48"/>
      <c r="AF1" s="48"/>
      <c r="AG1" s="48"/>
      <c r="AH1" s="48"/>
      <c r="AI1" s="48"/>
      <c r="AJ1" s="48"/>
      <c r="AK1" s="48"/>
      <c r="AL1" s="48"/>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row>
    <row r="2" spans="1:120" ht="12.95" customHeight="1" thickBot="1">
      <c r="A2" s="5"/>
      <c r="B2" s="6"/>
      <c r="C2" s="6"/>
      <c r="D2" s="9"/>
      <c r="E2" s="9"/>
      <c r="F2" s="9"/>
      <c r="G2" s="7"/>
      <c r="H2" s="92"/>
      <c r="I2" s="3"/>
      <c r="J2" s="3"/>
      <c r="K2" s="3"/>
      <c r="L2" s="3"/>
      <c r="M2" s="3"/>
      <c r="N2" s="48"/>
      <c r="O2" s="48"/>
      <c r="P2" s="48"/>
      <c r="Q2" s="48"/>
      <c r="R2" s="48"/>
      <c r="S2" s="48"/>
      <c r="T2" s="48"/>
      <c r="U2" s="48"/>
      <c r="V2" s="48"/>
      <c r="W2" s="48"/>
      <c r="X2" s="48"/>
      <c r="Y2" s="48"/>
      <c r="Z2" s="48"/>
      <c r="AA2" s="48"/>
      <c r="AB2" s="48"/>
      <c r="AC2" s="48"/>
      <c r="AD2" s="48"/>
      <c r="AE2" s="48"/>
      <c r="AF2" s="48"/>
      <c r="AG2" s="48"/>
      <c r="AH2" s="48"/>
      <c r="AI2" s="48"/>
      <c r="AJ2" s="48"/>
      <c r="AK2" s="48"/>
      <c r="AL2" s="48"/>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row>
    <row r="3" spans="1:120" ht="33" customHeight="1">
      <c r="A3" s="75" t="str">
        <f>"                                            "&amp;"ENTIDADES AUTÓNOMAS COMERCIALES"</f>
        <v xml:space="preserve">                                            ENTIDADES AUTÓNOMAS COMERCIALES</v>
      </c>
      <c r="B3" s="10"/>
      <c r="C3" s="10"/>
      <c r="D3" s="10"/>
      <c r="E3" s="10"/>
      <c r="F3" s="10"/>
      <c r="G3" s="10"/>
      <c r="H3" s="93"/>
      <c r="I3" s="93"/>
      <c r="J3" s="3"/>
      <c r="K3" s="3"/>
      <c r="L3" s="3"/>
      <c r="M3" s="3"/>
      <c r="N3" s="48"/>
      <c r="O3" s="48"/>
      <c r="P3" s="48"/>
      <c r="Q3" s="48"/>
      <c r="R3" s="48"/>
      <c r="S3" s="48"/>
      <c r="T3" s="48"/>
      <c r="U3" s="48"/>
      <c r="V3" s="48"/>
      <c r="W3" s="48"/>
      <c r="X3" s="48"/>
      <c r="Y3" s="48"/>
      <c r="Z3" s="48"/>
      <c r="AA3" s="48"/>
      <c r="AB3" s="48"/>
      <c r="AC3" s="48"/>
      <c r="AD3" s="48"/>
      <c r="AE3" s="48"/>
      <c r="AF3" s="48"/>
      <c r="AG3" s="48"/>
      <c r="AH3" s="48"/>
      <c r="AI3" s="48"/>
      <c r="AJ3" s="48"/>
      <c r="AK3" s="48"/>
      <c r="AL3" s="48"/>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row>
    <row r="4" spans="1:120" ht="19.5" customHeight="1">
      <c r="A4" s="14" t="str">
        <f>"AGREGADO"</f>
        <v>AGREGADO</v>
      </c>
      <c r="B4" s="79"/>
      <c r="C4" s="79"/>
      <c r="D4" s="79"/>
      <c r="E4" s="79"/>
      <c r="F4" s="79"/>
      <c r="G4" s="79"/>
      <c r="H4" s="54"/>
      <c r="I4" s="94"/>
      <c r="J4" s="3"/>
      <c r="K4" s="3"/>
      <c r="L4" s="3"/>
      <c r="M4" s="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row>
    <row r="5" spans="1:120" ht="18" customHeight="1" thickBot="1">
      <c r="A5" s="18"/>
      <c r="B5" s="47"/>
      <c r="C5" s="47"/>
      <c r="D5" s="95"/>
      <c r="E5" s="107"/>
      <c r="F5" s="107"/>
      <c r="G5" s="107"/>
      <c r="H5" s="76"/>
      <c r="I5" s="77"/>
      <c r="J5" s="3"/>
      <c r="K5" s="3"/>
      <c r="L5" s="3"/>
      <c r="M5" s="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row>
    <row r="6" spans="1:120" ht="15" customHeight="1">
      <c r="A6" s="96"/>
      <c r="B6" s="97"/>
      <c r="C6" s="97"/>
      <c r="D6" s="2"/>
      <c r="E6" s="2"/>
      <c r="F6" s="2"/>
      <c r="G6" s="2"/>
      <c r="H6" s="2"/>
      <c r="I6" s="97"/>
      <c r="J6" s="97"/>
      <c r="K6" s="97"/>
      <c r="L6" s="97"/>
      <c r="M6" s="98"/>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row>
    <row r="7" spans="1:120" ht="12.95" customHeight="1">
      <c r="A7" s="100"/>
      <c r="B7" s="100"/>
      <c r="C7" s="100"/>
      <c r="D7" s="100"/>
      <c r="E7" s="100"/>
      <c r="F7" s="100"/>
      <c r="G7" s="100"/>
      <c r="H7" s="100"/>
      <c r="I7" s="100"/>
      <c r="J7" s="100"/>
      <c r="K7" s="100"/>
      <c r="L7" s="100"/>
      <c r="M7" s="100"/>
      <c r="N7" s="48"/>
      <c r="O7" s="48"/>
      <c r="P7" s="48"/>
      <c r="Q7" s="48"/>
      <c r="R7" s="48"/>
      <c r="S7" s="48"/>
      <c r="T7" s="48"/>
      <c r="U7" s="48"/>
      <c r="V7" s="48"/>
      <c r="W7" s="48"/>
      <c r="X7" s="48"/>
      <c r="Y7" s="48"/>
      <c r="Z7" s="48"/>
      <c r="AA7" s="48"/>
      <c r="AB7" s="48"/>
      <c r="AC7" s="48"/>
      <c r="AD7" s="48"/>
      <c r="AE7" s="48"/>
      <c r="AF7" s="48"/>
      <c r="AG7" s="48"/>
      <c r="AH7" s="48"/>
      <c r="AI7" s="48"/>
      <c r="AJ7" s="48"/>
      <c r="AK7" s="48"/>
      <c r="AL7" s="48"/>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row>
    <row r="8" spans="1:192" s="2" customFormat="1" ht="21" customHeight="1">
      <c r="A8" s="102" t="s">
        <v>364</v>
      </c>
      <c r="B8" s="100"/>
      <c r="C8" s="100"/>
      <c r="D8" s="100"/>
      <c r="E8" s="100"/>
      <c r="F8" s="101"/>
      <c r="G8" s="101"/>
      <c r="H8" s="101"/>
      <c r="I8" s="100"/>
      <c r="J8" s="100"/>
      <c r="K8" s="100"/>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row>
    <row r="9" spans="1:192" s="2" customFormat="1" ht="12.95" customHeight="1">
      <c r="A9" s="24"/>
      <c r="B9" s="100"/>
      <c r="C9" s="100"/>
      <c r="D9" s="100"/>
      <c r="E9" s="100"/>
      <c r="F9" s="101"/>
      <c r="G9" s="101"/>
      <c r="H9" s="101"/>
      <c r="I9" s="100"/>
      <c r="J9" s="100"/>
      <c r="K9" s="100"/>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row>
    <row r="10" spans="1:192" s="2" customFormat="1" ht="12.95" customHeight="1">
      <c r="A10" s="24"/>
      <c r="B10" s="100"/>
      <c r="C10" s="100"/>
      <c r="D10" s="100"/>
      <c r="E10" s="100"/>
      <c r="F10" s="101"/>
      <c r="G10" s="101"/>
      <c r="H10" s="101"/>
      <c r="I10" s="100"/>
      <c r="J10" s="100"/>
      <c r="K10" s="100"/>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row>
    <row r="11" spans="1:192" s="2" customFormat="1" ht="18" customHeight="1" thickBot="1">
      <c r="A11" s="48" t="s">
        <v>6</v>
      </c>
      <c r="B11" s="100"/>
      <c r="C11" s="100"/>
      <c r="D11" s="100"/>
      <c r="E11" s="100"/>
      <c r="F11" s="101"/>
      <c r="G11" s="101"/>
      <c r="H11" s="193">
        <f>I1</f>
        <v>1995</v>
      </c>
      <c r="I11" s="100"/>
      <c r="J11" s="100"/>
      <c r="K11" s="100"/>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row>
    <row r="12" spans="1:192" s="2" customFormat="1" ht="33" customHeight="1">
      <c r="A12" s="234" t="s">
        <v>363</v>
      </c>
      <c r="B12" s="234"/>
      <c r="C12" s="117"/>
      <c r="D12" s="118"/>
      <c r="E12" s="118"/>
      <c r="F12" s="173"/>
      <c r="G12" s="173"/>
      <c r="H12" s="173"/>
      <c r="I12" s="100"/>
      <c r="J12" s="100"/>
      <c r="K12" s="100"/>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row>
    <row r="13" spans="1:192" s="2" customFormat="1" ht="48" customHeight="1">
      <c r="A13" s="239" t="s">
        <v>138</v>
      </c>
      <c r="B13" s="239"/>
      <c r="C13" s="174" t="s">
        <v>266</v>
      </c>
      <c r="D13" s="174" t="s">
        <v>267</v>
      </c>
      <c r="E13" s="174" t="s">
        <v>268</v>
      </c>
      <c r="F13" s="174" t="s">
        <v>269</v>
      </c>
      <c r="G13" s="120" t="s">
        <v>142</v>
      </c>
      <c r="H13" s="174" t="s">
        <v>270</v>
      </c>
      <c r="I13" s="100"/>
      <c r="J13" s="100"/>
      <c r="K13" s="100"/>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row>
    <row r="14" spans="1:110" s="2" customFormat="1" ht="18" customHeight="1">
      <c r="A14" s="121" t="s">
        <v>147</v>
      </c>
      <c r="B14" s="33" t="s">
        <v>148</v>
      </c>
      <c r="C14" s="206">
        <f aca="true" t="shared" si="0" ref="C14:F21">C90+C139</f>
        <v>153475.33000000002</v>
      </c>
      <c r="D14" s="206">
        <f t="shared" si="0"/>
        <v>0</v>
      </c>
      <c r="E14" s="206">
        <f t="shared" si="0"/>
        <v>153475.33000000002</v>
      </c>
      <c r="F14" s="206">
        <f t="shared" si="0"/>
        <v>153474.36</v>
      </c>
      <c r="G14" s="124">
        <f aca="true" t="shared" si="1" ref="G14:G22">IF(E14=0,"    --",F14/E14*100)</f>
        <v>99.99936797659922</v>
      </c>
      <c r="H14" s="206">
        <f aca="true" t="shared" si="2" ref="H14:H21">G90+G139</f>
        <v>0.97</v>
      </c>
      <c r="I14" s="100"/>
      <c r="J14" s="100"/>
      <c r="K14" s="100"/>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row>
    <row r="15" spans="1:110" s="2" customFormat="1" ht="18" customHeight="1">
      <c r="A15" s="121" t="s">
        <v>149</v>
      </c>
      <c r="B15" s="33" t="s">
        <v>150</v>
      </c>
      <c r="C15" s="206">
        <f t="shared" si="0"/>
        <v>764078.61</v>
      </c>
      <c r="D15" s="206">
        <f t="shared" si="0"/>
        <v>-10301.2</v>
      </c>
      <c r="E15" s="206">
        <f t="shared" si="0"/>
        <v>753777.4099999999</v>
      </c>
      <c r="F15" s="206">
        <f t="shared" si="0"/>
        <v>747265.85</v>
      </c>
      <c r="G15" s="124">
        <f t="shared" si="1"/>
        <v>99.13614285681498</v>
      </c>
      <c r="H15" s="206">
        <f t="shared" si="2"/>
        <v>6511.56</v>
      </c>
      <c r="I15" s="100"/>
      <c r="J15" s="100"/>
      <c r="K15" s="100"/>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row>
    <row r="16" spans="1:110" s="2" customFormat="1" ht="18" customHeight="1">
      <c r="A16" s="121" t="s">
        <v>151</v>
      </c>
      <c r="B16" s="33" t="s">
        <v>152</v>
      </c>
      <c r="C16" s="206">
        <f t="shared" si="0"/>
        <v>116868.93</v>
      </c>
      <c r="D16" s="206">
        <f t="shared" si="0"/>
        <v>-113.06</v>
      </c>
      <c r="E16" s="206">
        <f t="shared" si="0"/>
        <v>116755.86</v>
      </c>
      <c r="F16" s="206">
        <f t="shared" si="0"/>
        <v>116755.86</v>
      </c>
      <c r="G16" s="124">
        <f t="shared" si="1"/>
        <v>100</v>
      </c>
      <c r="H16" s="206">
        <f t="shared" si="2"/>
        <v>0</v>
      </c>
      <c r="I16" s="100"/>
      <c r="J16" s="100"/>
      <c r="K16" s="100"/>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row>
    <row r="17" spans="1:110" s="2" customFormat="1" ht="18" customHeight="1">
      <c r="A17" s="121" t="s">
        <v>153</v>
      </c>
      <c r="B17" s="33" t="s">
        <v>154</v>
      </c>
      <c r="C17" s="206">
        <f t="shared" si="0"/>
        <v>487649.95</v>
      </c>
      <c r="D17" s="206">
        <f t="shared" si="0"/>
        <v>0</v>
      </c>
      <c r="E17" s="206">
        <f t="shared" si="0"/>
        <v>487649.95</v>
      </c>
      <c r="F17" s="206">
        <f t="shared" si="0"/>
        <v>478334.27</v>
      </c>
      <c r="G17" s="124">
        <f t="shared" si="1"/>
        <v>98.08967887723561</v>
      </c>
      <c r="H17" s="206">
        <f t="shared" si="2"/>
        <v>9315.69</v>
      </c>
      <c r="I17" s="100"/>
      <c r="J17" s="100"/>
      <c r="K17" s="100"/>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row>
    <row r="18" spans="1:110" s="2" customFormat="1" ht="18" customHeight="1">
      <c r="A18" s="121" t="s">
        <v>155</v>
      </c>
      <c r="B18" s="33" t="s">
        <v>156</v>
      </c>
      <c r="C18" s="206">
        <f t="shared" si="0"/>
        <v>569490.99</v>
      </c>
      <c r="D18" s="206">
        <f t="shared" si="0"/>
        <v>-1095.24</v>
      </c>
      <c r="E18" s="206">
        <f t="shared" si="0"/>
        <v>568395.75</v>
      </c>
      <c r="F18" s="206">
        <f t="shared" si="0"/>
        <v>522421.39999999997</v>
      </c>
      <c r="G18" s="124">
        <f t="shared" si="1"/>
        <v>91.91155985948171</v>
      </c>
      <c r="H18" s="206">
        <f t="shared" si="2"/>
        <v>45974.35</v>
      </c>
      <c r="I18" s="100"/>
      <c r="J18" s="100"/>
      <c r="K18" s="100"/>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row>
    <row r="19" spans="1:110" s="2" customFormat="1" ht="18" customHeight="1">
      <c r="A19" s="121" t="s">
        <v>157</v>
      </c>
      <c r="B19" s="33" t="s">
        <v>158</v>
      </c>
      <c r="C19" s="206">
        <f t="shared" si="0"/>
        <v>50785.52</v>
      </c>
      <c r="D19" s="206">
        <f t="shared" si="0"/>
        <v>0</v>
      </c>
      <c r="E19" s="206">
        <f t="shared" si="0"/>
        <v>50785.52</v>
      </c>
      <c r="F19" s="206">
        <f t="shared" si="0"/>
        <v>9916.7</v>
      </c>
      <c r="G19" s="124">
        <f t="shared" si="1"/>
        <v>19.526628850113184</v>
      </c>
      <c r="H19" s="206">
        <f t="shared" si="2"/>
        <v>40868.82</v>
      </c>
      <c r="I19" s="100"/>
      <c r="J19" s="100"/>
      <c r="K19" s="100"/>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row>
    <row r="20" spans="1:110" s="2" customFormat="1" ht="18" customHeight="1">
      <c r="A20" s="121" t="s">
        <v>159</v>
      </c>
      <c r="B20" s="33" t="s">
        <v>160</v>
      </c>
      <c r="C20" s="206">
        <f t="shared" si="0"/>
        <v>0</v>
      </c>
      <c r="D20" s="206">
        <f t="shared" si="0"/>
        <v>0</v>
      </c>
      <c r="E20" s="206">
        <f t="shared" si="0"/>
        <v>0</v>
      </c>
      <c r="F20" s="206">
        <f t="shared" si="0"/>
        <v>0</v>
      </c>
      <c r="G20" s="124" t="str">
        <f t="shared" si="1"/>
        <v xml:space="preserve">    --</v>
      </c>
      <c r="H20" s="206">
        <f t="shared" si="2"/>
        <v>0</v>
      </c>
      <c r="I20" s="100"/>
      <c r="J20" s="100"/>
      <c r="K20" s="100"/>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row>
    <row r="21" spans="1:110" s="2" customFormat="1" ht="18" customHeight="1">
      <c r="A21" s="121" t="s">
        <v>161</v>
      </c>
      <c r="B21" s="33" t="s">
        <v>162</v>
      </c>
      <c r="C21" s="206">
        <f t="shared" si="0"/>
        <v>0</v>
      </c>
      <c r="D21" s="206">
        <f t="shared" si="0"/>
        <v>0</v>
      </c>
      <c r="E21" s="206">
        <f t="shared" si="0"/>
        <v>0</v>
      </c>
      <c r="F21" s="206">
        <f t="shared" si="0"/>
        <v>0</v>
      </c>
      <c r="G21" s="124" t="str">
        <f t="shared" si="1"/>
        <v xml:space="preserve">    --</v>
      </c>
      <c r="H21" s="206">
        <f t="shared" si="2"/>
        <v>0</v>
      </c>
      <c r="I21" s="100"/>
      <c r="J21" s="100"/>
      <c r="K21" s="100"/>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row>
    <row r="22" spans="1:110" s="2" customFormat="1" ht="18" customHeight="1" thickBot="1">
      <c r="A22" s="231" t="s">
        <v>268</v>
      </c>
      <c r="B22" s="231"/>
      <c r="C22" s="207">
        <f>SUM(C14:C21)</f>
        <v>2142349.3299999996</v>
      </c>
      <c r="D22" s="207">
        <f>SUM(D14:D21)</f>
        <v>-11509.5</v>
      </c>
      <c r="E22" s="207">
        <f>SUM(E14:E21)</f>
        <v>2130839.82</v>
      </c>
      <c r="F22" s="207">
        <f>SUM(F14:F21)</f>
        <v>2028168.4399999997</v>
      </c>
      <c r="G22" s="125">
        <f t="shared" si="1"/>
        <v>95.18164720612363</v>
      </c>
      <c r="H22" s="207">
        <f>SUM(H14:H21)</f>
        <v>102671.39</v>
      </c>
      <c r="I22" s="100"/>
      <c r="J22" s="100"/>
      <c r="K22" s="100"/>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row>
    <row r="23" spans="1:110" s="2" customFormat="1" ht="12.95" customHeight="1">
      <c r="A23" s="130"/>
      <c r="B23" s="130"/>
      <c r="C23" s="131"/>
      <c r="D23" s="103"/>
      <c r="E23" s="103"/>
      <c r="F23" s="103"/>
      <c r="G23" s="103"/>
      <c r="H23" s="103"/>
      <c r="I23" s="100"/>
      <c r="J23" s="100"/>
      <c r="K23" s="100"/>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row>
    <row r="24" spans="1:110" s="2" customFormat="1" ht="12.95" customHeight="1">
      <c r="A24" s="130"/>
      <c r="B24" s="130"/>
      <c r="C24" s="131"/>
      <c r="D24" s="103"/>
      <c r="E24" s="103"/>
      <c r="F24" s="103"/>
      <c r="G24" s="103"/>
      <c r="H24" s="103"/>
      <c r="I24" s="100"/>
      <c r="J24" s="100"/>
      <c r="K24" s="100"/>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row>
    <row r="25" spans="1:110" s="2" customFormat="1" ht="18" customHeight="1" thickBot="1">
      <c r="A25" s="48" t="s">
        <v>6</v>
      </c>
      <c r="B25" s="130"/>
      <c r="C25" s="131"/>
      <c r="D25" s="103"/>
      <c r="E25" s="103"/>
      <c r="F25" s="103"/>
      <c r="G25" s="103"/>
      <c r="H25" s="103"/>
      <c r="I25" s="193">
        <f>I1</f>
        <v>1995</v>
      </c>
      <c r="J25" s="104"/>
      <c r="K25" s="103"/>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row>
    <row r="26" spans="1:110" s="2" customFormat="1" ht="33" customHeight="1">
      <c r="A26" s="234" t="s">
        <v>362</v>
      </c>
      <c r="B26" s="234"/>
      <c r="C26" s="117"/>
      <c r="D26" s="118"/>
      <c r="E26" s="118"/>
      <c r="F26" s="173"/>
      <c r="G26" s="173"/>
      <c r="H26" s="173"/>
      <c r="I26" s="173"/>
      <c r="J26" s="104"/>
      <c r="K26" s="103"/>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row>
    <row r="27" spans="1:110" s="2" customFormat="1" ht="48" customHeight="1">
      <c r="A27" s="239" t="s">
        <v>138</v>
      </c>
      <c r="B27" s="239"/>
      <c r="C27" s="174" t="s">
        <v>271</v>
      </c>
      <c r="D27" s="174" t="s">
        <v>272</v>
      </c>
      <c r="E27" s="174" t="s">
        <v>273</v>
      </c>
      <c r="F27" s="174" t="s">
        <v>274</v>
      </c>
      <c r="G27" s="120" t="s">
        <v>143</v>
      </c>
      <c r="H27" s="174" t="s">
        <v>275</v>
      </c>
      <c r="I27" s="174" t="s">
        <v>276</v>
      </c>
      <c r="J27" s="104"/>
      <c r="K27" s="103"/>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row>
    <row r="28" spans="1:110" s="2" customFormat="1" ht="18" customHeight="1">
      <c r="A28" s="121" t="s">
        <v>147</v>
      </c>
      <c r="B28" s="33" t="s">
        <v>167</v>
      </c>
      <c r="C28" s="206">
        <f aca="true" t="shared" si="3" ref="C28:D36">C104+C153</f>
        <v>0</v>
      </c>
      <c r="D28" s="206">
        <f t="shared" si="3"/>
        <v>0</v>
      </c>
      <c r="E28" s="206">
        <f aca="true" t="shared" si="4" ref="E28:E36">E104+F104+E153+F153</f>
        <v>0</v>
      </c>
      <c r="F28" s="206">
        <f aca="true" t="shared" si="5" ref="F28:F36">I104+J104+I153+J153</f>
        <v>0</v>
      </c>
      <c r="G28" s="124" t="str">
        <f>IF((C28+D28-E28-F28)=0,"    --",H28/(C28+D28-E28-F28)*100)</f>
        <v xml:space="preserve">    --</v>
      </c>
      <c r="H28" s="206">
        <f aca="true" t="shared" si="6" ref="H28:H36">H104+H153</f>
        <v>0</v>
      </c>
      <c r="I28" s="206">
        <f>K104+K153</f>
        <v>0</v>
      </c>
      <c r="J28" s="104"/>
      <c r="K28" s="103"/>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row>
    <row r="29" spans="1:110" s="2" customFormat="1" ht="18" customHeight="1">
      <c r="A29" s="121" t="s">
        <v>149</v>
      </c>
      <c r="B29" s="33" t="s">
        <v>168</v>
      </c>
      <c r="C29" s="206">
        <f t="shared" si="3"/>
        <v>0</v>
      </c>
      <c r="D29" s="206">
        <f t="shared" si="3"/>
        <v>0</v>
      </c>
      <c r="E29" s="206">
        <f t="shared" si="4"/>
        <v>0</v>
      </c>
      <c r="F29" s="206">
        <f t="shared" si="5"/>
        <v>0</v>
      </c>
      <c r="G29" s="124" t="str">
        <f aca="true" t="shared" si="7" ref="G29:G36">IF((C29+D29-E29-F29)=0,"    --",H29/(C29+D29-E29-F29)*100)</f>
        <v xml:space="preserve">    --</v>
      </c>
      <c r="H29" s="206">
        <f t="shared" si="6"/>
        <v>0</v>
      </c>
      <c r="I29" s="206">
        <f aca="true" t="shared" si="8" ref="I29:I36">K105+K154</f>
        <v>0</v>
      </c>
      <c r="J29" s="104"/>
      <c r="K29" s="103"/>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row>
    <row r="30" spans="1:110" s="2" customFormat="1" ht="18" customHeight="1">
      <c r="A30" s="121" t="s">
        <v>151</v>
      </c>
      <c r="B30" s="33" t="s">
        <v>169</v>
      </c>
      <c r="C30" s="206">
        <f t="shared" si="3"/>
        <v>4313.59</v>
      </c>
      <c r="D30" s="206">
        <f t="shared" si="3"/>
        <v>0</v>
      </c>
      <c r="E30" s="206">
        <f t="shared" si="4"/>
        <v>49.88</v>
      </c>
      <c r="F30" s="206">
        <f t="shared" si="5"/>
        <v>0</v>
      </c>
      <c r="G30" s="124">
        <f t="shared" si="7"/>
        <v>100</v>
      </c>
      <c r="H30" s="206">
        <f t="shared" si="6"/>
        <v>4263.71</v>
      </c>
      <c r="I30" s="206">
        <f t="shared" si="8"/>
        <v>0</v>
      </c>
      <c r="J30" s="104"/>
      <c r="K30" s="103"/>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row>
    <row r="31" spans="1:110" s="2" customFormat="1" ht="18" customHeight="1">
      <c r="A31" s="121" t="s">
        <v>153</v>
      </c>
      <c r="B31" s="33" t="s">
        <v>154</v>
      </c>
      <c r="C31" s="206">
        <f t="shared" si="3"/>
        <v>242744.80000000002</v>
      </c>
      <c r="D31" s="206">
        <f t="shared" si="3"/>
        <v>0</v>
      </c>
      <c r="E31" s="206">
        <f t="shared" si="4"/>
        <v>113806.66</v>
      </c>
      <c r="F31" s="206">
        <f t="shared" si="5"/>
        <v>0</v>
      </c>
      <c r="G31" s="124">
        <f t="shared" si="7"/>
        <v>99.99999999999999</v>
      </c>
      <c r="H31" s="206">
        <f t="shared" si="6"/>
        <v>128938.14</v>
      </c>
      <c r="I31" s="206">
        <f t="shared" si="8"/>
        <v>0</v>
      </c>
      <c r="J31" s="104"/>
      <c r="K31" s="103"/>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row>
    <row r="32" spans="1:110" s="2" customFormat="1" ht="18" customHeight="1">
      <c r="A32" s="121" t="s">
        <v>170</v>
      </c>
      <c r="B32" s="33" t="s">
        <v>171</v>
      </c>
      <c r="C32" s="206">
        <f t="shared" si="3"/>
        <v>71760.37</v>
      </c>
      <c r="D32" s="206">
        <f t="shared" si="3"/>
        <v>0</v>
      </c>
      <c r="E32" s="206">
        <f t="shared" si="4"/>
        <v>0</v>
      </c>
      <c r="F32" s="206">
        <f t="shared" si="5"/>
        <v>0</v>
      </c>
      <c r="G32" s="124">
        <f t="shared" si="7"/>
        <v>100</v>
      </c>
      <c r="H32" s="206">
        <f t="shared" si="6"/>
        <v>71760.37</v>
      </c>
      <c r="I32" s="206">
        <f t="shared" si="8"/>
        <v>0</v>
      </c>
      <c r="J32" s="104"/>
      <c r="K32" s="103"/>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row>
    <row r="33" spans="1:110" s="2" customFormat="1" ht="18" customHeight="1">
      <c r="A33" s="121" t="s">
        <v>155</v>
      </c>
      <c r="B33" s="33" t="s">
        <v>172</v>
      </c>
      <c r="C33" s="206">
        <f t="shared" si="3"/>
        <v>0</v>
      </c>
      <c r="D33" s="206">
        <f t="shared" si="3"/>
        <v>0</v>
      </c>
      <c r="E33" s="206">
        <f t="shared" si="4"/>
        <v>0</v>
      </c>
      <c r="F33" s="206">
        <f t="shared" si="5"/>
        <v>0</v>
      </c>
      <c r="G33" s="124" t="str">
        <f t="shared" si="7"/>
        <v xml:space="preserve">    --</v>
      </c>
      <c r="H33" s="206">
        <f t="shared" si="6"/>
        <v>0</v>
      </c>
      <c r="I33" s="206">
        <f t="shared" si="8"/>
        <v>0</v>
      </c>
      <c r="J33" s="104"/>
      <c r="K33" s="103"/>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row>
    <row r="34" spans="1:110" s="2" customFormat="1" ht="18" customHeight="1">
      <c r="A34" s="121" t="s">
        <v>157</v>
      </c>
      <c r="B34" s="33" t="s">
        <v>158</v>
      </c>
      <c r="C34" s="206">
        <f t="shared" si="3"/>
        <v>3424937.73</v>
      </c>
      <c r="D34" s="206">
        <f t="shared" si="3"/>
        <v>0</v>
      </c>
      <c r="E34" s="206">
        <f t="shared" si="4"/>
        <v>0</v>
      </c>
      <c r="F34" s="206">
        <f t="shared" si="5"/>
        <v>0</v>
      </c>
      <c r="G34" s="124">
        <f t="shared" si="7"/>
        <v>94.54184791850216</v>
      </c>
      <c r="H34" s="206">
        <f t="shared" si="6"/>
        <v>3237999.42</v>
      </c>
      <c r="I34" s="206">
        <f t="shared" si="8"/>
        <v>186938.31</v>
      </c>
      <c r="J34" s="104"/>
      <c r="K34" s="103"/>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row>
    <row r="35" spans="1:110" s="2" customFormat="1" ht="18" customHeight="1">
      <c r="A35" s="121" t="s">
        <v>159</v>
      </c>
      <c r="B35" s="33" t="s">
        <v>160</v>
      </c>
      <c r="C35" s="206">
        <f t="shared" si="3"/>
        <v>0</v>
      </c>
      <c r="D35" s="206">
        <f t="shared" si="3"/>
        <v>0</v>
      </c>
      <c r="E35" s="206">
        <f t="shared" si="4"/>
        <v>0</v>
      </c>
      <c r="F35" s="206">
        <f t="shared" si="5"/>
        <v>0</v>
      </c>
      <c r="G35" s="124" t="str">
        <f t="shared" si="7"/>
        <v xml:space="preserve">    --</v>
      </c>
      <c r="H35" s="206">
        <f t="shared" si="6"/>
        <v>0</v>
      </c>
      <c r="I35" s="206">
        <f t="shared" si="8"/>
        <v>0</v>
      </c>
      <c r="J35" s="104"/>
      <c r="K35" s="103"/>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row>
    <row r="36" spans="1:110" s="2" customFormat="1" ht="18" customHeight="1">
      <c r="A36" s="121" t="s">
        <v>161</v>
      </c>
      <c r="B36" s="33" t="s">
        <v>162</v>
      </c>
      <c r="C36" s="206">
        <f t="shared" si="3"/>
        <v>0</v>
      </c>
      <c r="D36" s="206">
        <f t="shared" si="3"/>
        <v>0</v>
      </c>
      <c r="E36" s="206">
        <f t="shared" si="4"/>
        <v>0</v>
      </c>
      <c r="F36" s="206">
        <f t="shared" si="5"/>
        <v>0</v>
      </c>
      <c r="G36" s="124" t="str">
        <f t="shared" si="7"/>
        <v xml:space="preserve">    --</v>
      </c>
      <c r="H36" s="206">
        <f t="shared" si="6"/>
        <v>0</v>
      </c>
      <c r="I36" s="206">
        <f t="shared" si="8"/>
        <v>0</v>
      </c>
      <c r="J36" s="104"/>
      <c r="K36" s="103"/>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row>
    <row r="37" spans="1:110" s="2" customFormat="1" ht="18" customHeight="1" thickBot="1">
      <c r="A37" s="231" t="s">
        <v>277</v>
      </c>
      <c r="B37" s="231"/>
      <c r="C37" s="207">
        <f>SUM(C28:C36)</f>
        <v>3743756.49</v>
      </c>
      <c r="D37" s="207">
        <f aca="true" t="shared" si="9" ref="D37:I37">SUM(D28:D36)</f>
        <v>0</v>
      </c>
      <c r="E37" s="207">
        <f t="shared" si="9"/>
        <v>113856.54000000001</v>
      </c>
      <c r="F37" s="207">
        <f t="shared" si="9"/>
        <v>0</v>
      </c>
      <c r="G37" s="214">
        <f>IF((C37+D37-E37-F37)=0,"    --",H37/(C37+D37-E37-F37)*100)</f>
        <v>94.85004235447315</v>
      </c>
      <c r="H37" s="207">
        <f t="shared" si="9"/>
        <v>3442961.64</v>
      </c>
      <c r="I37" s="207">
        <f t="shared" si="9"/>
        <v>186938.31</v>
      </c>
      <c r="J37" s="104"/>
      <c r="K37" s="103"/>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row>
    <row r="38" spans="1:192" s="2" customFormat="1" ht="12.95" customHeight="1">
      <c r="A38" s="24"/>
      <c r="B38" s="100"/>
      <c r="C38" s="100"/>
      <c r="D38" s="100"/>
      <c r="E38" s="100"/>
      <c r="F38" s="101"/>
      <c r="G38" s="101"/>
      <c r="H38" s="101"/>
      <c r="I38" s="100"/>
      <c r="J38" s="100"/>
      <c r="K38" s="100"/>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row>
    <row r="39" spans="1:192" s="2" customFormat="1" ht="12.95" customHeight="1">
      <c r="A39" s="24"/>
      <c r="B39" s="100"/>
      <c r="C39" s="100"/>
      <c r="D39" s="100"/>
      <c r="E39" s="100"/>
      <c r="F39" s="101"/>
      <c r="G39" s="101"/>
      <c r="H39" s="101"/>
      <c r="I39" s="100"/>
      <c r="J39" s="100"/>
      <c r="K39" s="100"/>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row>
    <row r="40" ht="12.95" customHeight="1"/>
    <row r="41" spans="1:5" ht="21" customHeight="1">
      <c r="A41" s="102" t="s">
        <v>426</v>
      </c>
      <c r="E41" s="102" t="s">
        <v>358</v>
      </c>
    </row>
    <row r="42" ht="12.95" customHeight="1"/>
    <row r="43" spans="1:5" ht="18" customHeight="1" thickBot="1">
      <c r="A43" s="34" t="s">
        <v>6</v>
      </c>
      <c r="E43" s="34" t="s">
        <v>6</v>
      </c>
    </row>
    <row r="44" spans="1:9" s="34" customFormat="1" ht="33" customHeight="1">
      <c r="A44" s="234" t="s">
        <v>10</v>
      </c>
      <c r="B44" s="234"/>
      <c r="C44" s="28">
        <f>I1</f>
        <v>1995</v>
      </c>
      <c r="E44" s="234" t="s">
        <v>10</v>
      </c>
      <c r="F44" s="234"/>
      <c r="G44" s="167"/>
      <c r="H44" s="28">
        <f>I1</f>
        <v>1995</v>
      </c>
      <c r="I44" s="3"/>
    </row>
    <row r="45" spans="1:9" s="34" customFormat="1" ht="18" customHeight="1">
      <c r="A45" s="168" t="s">
        <v>278</v>
      </c>
      <c r="B45" s="168" t="s">
        <v>279</v>
      </c>
      <c r="C45" s="215">
        <f aca="true" t="shared" si="10" ref="C45:C61">C117+C166</f>
        <v>937555.22</v>
      </c>
      <c r="E45" s="168" t="s">
        <v>280</v>
      </c>
      <c r="F45" s="168"/>
      <c r="G45" s="169"/>
      <c r="H45" s="215">
        <f aca="true" t="shared" si="11" ref="H45:H56">F117+F166</f>
        <v>29568842.55</v>
      </c>
      <c r="I45" s="3"/>
    </row>
    <row r="46" spans="1:9" s="34" customFormat="1" ht="18" customHeight="1">
      <c r="A46" s="33" t="s">
        <v>281</v>
      </c>
      <c r="B46" s="33" t="s">
        <v>282</v>
      </c>
      <c r="C46" s="46">
        <f t="shared" si="10"/>
        <v>696065.92</v>
      </c>
      <c r="E46" s="230" t="s">
        <v>283</v>
      </c>
      <c r="F46" s="230"/>
      <c r="G46" s="230"/>
      <c r="H46" s="46">
        <f t="shared" si="11"/>
        <v>16647264.01</v>
      </c>
      <c r="I46" s="3"/>
    </row>
    <row r="47" spans="1:9" s="34" customFormat="1" ht="18" customHeight="1">
      <c r="A47" s="33" t="s">
        <v>281</v>
      </c>
      <c r="B47" s="33" t="s">
        <v>284</v>
      </c>
      <c r="C47" s="46">
        <f t="shared" si="10"/>
        <v>186938.31</v>
      </c>
      <c r="E47" s="230" t="s">
        <v>285</v>
      </c>
      <c r="F47" s="230"/>
      <c r="G47" s="230"/>
      <c r="H47" s="46">
        <f t="shared" si="11"/>
        <v>3442961.62</v>
      </c>
      <c r="I47" s="3"/>
    </row>
    <row r="48" spans="1:9" s="34" customFormat="1" ht="18" customHeight="1">
      <c r="A48" s="33" t="s">
        <v>286</v>
      </c>
      <c r="B48" s="33" t="s">
        <v>287</v>
      </c>
      <c r="C48" s="46">
        <f t="shared" si="10"/>
        <v>80979.68999999999</v>
      </c>
      <c r="E48" s="230" t="s">
        <v>288</v>
      </c>
      <c r="F48" s="230"/>
      <c r="G48" s="230"/>
      <c r="H48" s="46">
        <f t="shared" si="11"/>
        <v>4831545.25</v>
      </c>
      <c r="I48" s="3"/>
    </row>
    <row r="49" spans="1:9" s="34" customFormat="1" ht="18" customHeight="1">
      <c r="A49" s="33" t="s">
        <v>286</v>
      </c>
      <c r="B49" s="33" t="s">
        <v>289</v>
      </c>
      <c r="C49" s="46">
        <f t="shared" si="10"/>
        <v>85135.44</v>
      </c>
      <c r="E49" s="230" t="s">
        <v>290</v>
      </c>
      <c r="F49" s="230"/>
      <c r="G49" s="230"/>
      <c r="H49" s="46">
        <f t="shared" si="11"/>
        <v>4647071.66</v>
      </c>
      <c r="I49" s="3"/>
    </row>
    <row r="50" spans="1:9" s="34" customFormat="1" ht="18" customHeight="1">
      <c r="A50" s="33" t="s">
        <v>291</v>
      </c>
      <c r="B50" s="33" t="s">
        <v>292</v>
      </c>
      <c r="C50" s="46">
        <f t="shared" si="10"/>
        <v>0</v>
      </c>
      <c r="E50" s="143" t="s">
        <v>293</v>
      </c>
      <c r="F50" s="143"/>
      <c r="G50" s="31"/>
      <c r="H50" s="200">
        <f t="shared" si="11"/>
        <v>29961655.509999998</v>
      </c>
      <c r="I50" s="3"/>
    </row>
    <row r="51" spans="1:9" s="34" customFormat="1" ht="18" customHeight="1">
      <c r="A51" s="33" t="s">
        <v>294</v>
      </c>
      <c r="B51" s="33" t="s">
        <v>295</v>
      </c>
      <c r="C51" s="46">
        <f t="shared" si="10"/>
        <v>111564.13</v>
      </c>
      <c r="E51" s="230" t="s">
        <v>283</v>
      </c>
      <c r="F51" s="230"/>
      <c r="G51" s="230"/>
      <c r="H51" s="46">
        <f t="shared" si="11"/>
        <v>18085257.05</v>
      </c>
      <c r="I51" s="3"/>
    </row>
    <row r="52" spans="1:9" s="34" customFormat="1" ht="18" customHeight="1">
      <c r="A52" s="143" t="s">
        <v>296</v>
      </c>
      <c r="B52" s="143" t="s">
        <v>297</v>
      </c>
      <c r="C52" s="200">
        <f t="shared" si="10"/>
        <v>3679660.71</v>
      </c>
      <c r="E52" s="230" t="s">
        <v>285</v>
      </c>
      <c r="F52" s="230"/>
      <c r="G52" s="230"/>
      <c r="H52" s="46">
        <f t="shared" si="11"/>
        <v>2028168.44</v>
      </c>
      <c r="I52" s="3"/>
    </row>
    <row r="53" spans="1:9" s="34" customFormat="1" ht="18" customHeight="1">
      <c r="A53" s="33" t="s">
        <v>298</v>
      </c>
      <c r="B53" s="33" t="s">
        <v>299</v>
      </c>
      <c r="C53" s="46">
        <f t="shared" si="10"/>
        <v>1597614.29</v>
      </c>
      <c r="E53" s="230" t="s">
        <v>288</v>
      </c>
      <c r="F53" s="230"/>
      <c r="G53" s="230"/>
      <c r="H53" s="46">
        <f t="shared" si="11"/>
        <v>5351648.25</v>
      </c>
      <c r="I53" s="3"/>
    </row>
    <row r="54" spans="1:9" s="34" customFormat="1" ht="18" customHeight="1">
      <c r="A54" s="33" t="s">
        <v>298</v>
      </c>
      <c r="B54" s="33" t="s">
        <v>300</v>
      </c>
      <c r="C54" s="46">
        <f t="shared" si="10"/>
        <v>102671.39</v>
      </c>
      <c r="E54" s="244" t="s">
        <v>290</v>
      </c>
      <c r="F54" s="244"/>
      <c r="G54" s="244"/>
      <c r="H54" s="46">
        <f t="shared" si="11"/>
        <v>4496581.77</v>
      </c>
      <c r="I54" s="3"/>
    </row>
    <row r="55" spans="1:9" s="34" customFormat="1" ht="18" customHeight="1">
      <c r="A55" s="33" t="s">
        <v>298</v>
      </c>
      <c r="B55" s="33" t="s">
        <v>301</v>
      </c>
      <c r="C55" s="46">
        <f t="shared" si="10"/>
        <v>1368878.57</v>
      </c>
      <c r="E55" s="168" t="s">
        <v>302</v>
      </c>
      <c r="F55" s="168"/>
      <c r="G55" s="169"/>
      <c r="H55" s="200">
        <f t="shared" si="11"/>
        <v>-392812.94999999995</v>
      </c>
      <c r="I55" s="3"/>
    </row>
    <row r="56" spans="1:9" s="34" customFormat="1" ht="18" customHeight="1">
      <c r="A56" s="33" t="s">
        <v>286</v>
      </c>
      <c r="B56" s="33" t="s">
        <v>303</v>
      </c>
      <c r="C56" s="46">
        <f t="shared" si="10"/>
        <v>610496.47</v>
      </c>
      <c r="E56" s="168" t="s">
        <v>304</v>
      </c>
      <c r="F56" s="168"/>
      <c r="G56" s="169"/>
      <c r="H56" s="215">
        <f t="shared" si="11"/>
        <v>1619940.98</v>
      </c>
      <c r="I56" s="3"/>
    </row>
    <row r="57" spans="1:8" s="34" customFormat="1" ht="18" customHeight="1">
      <c r="A57" s="33" t="s">
        <v>294</v>
      </c>
      <c r="B57" s="33" t="s">
        <v>305</v>
      </c>
      <c r="C57" s="46">
        <f t="shared" si="10"/>
        <v>0</v>
      </c>
      <c r="H57" s="217"/>
    </row>
    <row r="58" spans="1:8" s="34" customFormat="1" ht="18" customHeight="1" thickBot="1">
      <c r="A58" s="143" t="s">
        <v>306</v>
      </c>
      <c r="B58" s="143" t="s">
        <v>307</v>
      </c>
      <c r="C58" s="200">
        <f t="shared" si="10"/>
        <v>1227128.02</v>
      </c>
      <c r="E58" s="175" t="s">
        <v>308</v>
      </c>
      <c r="F58" s="175"/>
      <c r="G58" s="40"/>
      <c r="H58" s="216">
        <f>F129+F178</f>
        <v>1227128.02</v>
      </c>
    </row>
    <row r="59" spans="1:3" s="34" customFormat="1" ht="18" customHeight="1">
      <c r="A59" s="176" t="s">
        <v>309</v>
      </c>
      <c r="B59" s="143" t="s">
        <v>310</v>
      </c>
      <c r="C59" s="200">
        <f t="shared" si="10"/>
        <v>0</v>
      </c>
    </row>
    <row r="60" spans="1:8" s="34" customFormat="1" ht="18" customHeight="1">
      <c r="A60" s="176" t="s">
        <v>311</v>
      </c>
      <c r="B60" s="143" t="s">
        <v>312</v>
      </c>
      <c r="C60" s="200">
        <f t="shared" si="10"/>
        <v>-1514977.4699999997</v>
      </c>
      <c r="D60" s="43"/>
      <c r="H60" s="43"/>
    </row>
    <row r="61" spans="1:5" s="34" customFormat="1" ht="18" customHeight="1" thickBot="1">
      <c r="A61" s="177" t="s">
        <v>313</v>
      </c>
      <c r="B61" s="178" t="s">
        <v>314</v>
      </c>
      <c r="C61" s="216">
        <f t="shared" si="10"/>
        <v>-1514977.4699999997</v>
      </c>
      <c r="D61" s="43"/>
      <c r="E61" s="43"/>
    </row>
    <row r="62" s="34" customFormat="1" ht="12.95" customHeight="1">
      <c r="E62" s="43"/>
    </row>
    <row r="63" s="34" customFormat="1" ht="18" customHeight="1">
      <c r="E63" s="43"/>
    </row>
    <row r="64" s="34" customFormat="1" ht="12.95" customHeight="1"/>
    <row r="65" s="34" customFormat="1" ht="21" customHeight="1">
      <c r="A65" s="102" t="s">
        <v>40</v>
      </c>
    </row>
    <row r="66" s="34" customFormat="1" ht="12.95" customHeight="1">
      <c r="A66" s="102"/>
    </row>
    <row r="67" spans="12:13" s="34" customFormat="1" ht="12.95" customHeight="1" thickBot="1">
      <c r="L67" s="44">
        <v>21400</v>
      </c>
      <c r="M67" s="44">
        <v>21401</v>
      </c>
    </row>
    <row r="68" spans="1:13" s="34" customFormat="1" ht="33" customHeight="1">
      <c r="A68" s="234" t="s">
        <v>52</v>
      </c>
      <c r="B68" s="234"/>
      <c r="C68" s="27"/>
      <c r="D68" s="28">
        <f>I1</f>
        <v>1995</v>
      </c>
      <c r="L68" s="44" t="s">
        <v>437</v>
      </c>
      <c r="M68" s="44" t="s">
        <v>437</v>
      </c>
    </row>
    <row r="69" spans="1:13" s="34" customFormat="1" ht="18" customHeight="1" thickBot="1">
      <c r="A69" s="110" t="s">
        <v>38</v>
      </c>
      <c r="B69" s="111"/>
      <c r="C69" s="111"/>
      <c r="D69" s="112">
        <f>L71+M71</f>
        <v>358</v>
      </c>
      <c r="L69" s="44" t="s">
        <v>0</v>
      </c>
      <c r="M69" s="44" t="s">
        <v>1</v>
      </c>
    </row>
    <row r="70" spans="1:13" s="34" customFormat="1" ht="18" customHeight="1">
      <c r="A70" s="3"/>
      <c r="B70" s="3"/>
      <c r="C70" s="3"/>
      <c r="D70" s="3"/>
      <c r="E70" s="106"/>
      <c r="F70" s="106"/>
      <c r="G70" s="106"/>
      <c r="H70" s="106"/>
      <c r="I70" s="106"/>
      <c r="L70" s="44"/>
      <c r="M70" s="44"/>
    </row>
    <row r="71" spans="1:13" s="34" customFormat="1" ht="18" customHeight="1">
      <c r="A71" s="1" t="str">
        <f>IF(COUNTIF(L71:M71,"Sin información")=0,"* En su defecto, empleados a fin de ejercicio.","* En su defecto, empleados a fin de ejercicio. En "&amp;COUNTIF(L71:M71,"Sin información")&amp;" de las "&amp;COUNTA(L71:M71)&amp;" cuentas agregadas, la memoria no ofrece dicha información.")</f>
        <v>* En su defecto, empleados a fin de ejercicio.</v>
      </c>
      <c r="B71" s="3"/>
      <c r="C71" s="3"/>
      <c r="D71" s="3"/>
      <c r="E71" s="106"/>
      <c r="F71" s="106"/>
      <c r="G71" s="106"/>
      <c r="H71" s="106"/>
      <c r="I71" s="106"/>
      <c r="L71" s="106">
        <f>'[1]8100'!$D$6</f>
        <v>210</v>
      </c>
      <c r="M71" s="106">
        <f>'[2]8100'!$D$6</f>
        <v>148</v>
      </c>
    </row>
    <row r="72" spans="1:13" s="34" customFormat="1" ht="12.95" customHeight="1" thickBot="1">
      <c r="A72" s="1"/>
      <c r="B72" s="3"/>
      <c r="C72" s="3"/>
      <c r="D72" s="3"/>
      <c r="E72" s="106"/>
      <c r="F72" s="106"/>
      <c r="G72" s="106"/>
      <c r="H72" s="106"/>
      <c r="I72" s="106"/>
      <c r="L72" s="106"/>
      <c r="M72" s="106"/>
    </row>
    <row r="73" spans="1:13" s="34" customFormat="1" ht="33" customHeight="1">
      <c r="A73" s="234" t="s">
        <v>53</v>
      </c>
      <c r="B73" s="234"/>
      <c r="C73" s="27"/>
      <c r="D73" s="27"/>
      <c r="E73" s="27"/>
      <c r="F73" s="28">
        <f>I1</f>
        <v>1995</v>
      </c>
      <c r="L73" s="44"/>
      <c r="M73" s="44"/>
    </row>
    <row r="74" spans="1:13" s="34" customFormat="1" ht="18" customHeight="1" thickBot="1">
      <c r="A74" s="108" t="s">
        <v>424</v>
      </c>
      <c r="B74" s="108"/>
      <c r="C74" s="108"/>
      <c r="D74" s="108"/>
      <c r="E74" s="108"/>
      <c r="F74" s="113">
        <f>L74+M74</f>
        <v>0</v>
      </c>
      <c r="L74" s="105">
        <f>'[1]8100'!$H$10</f>
        <v>0</v>
      </c>
      <c r="M74" s="105">
        <f>'[2]8100'!$H$10</f>
        <v>0</v>
      </c>
    </row>
    <row r="75" spans="1:13" s="34" customFormat="1" ht="12.95" customHeight="1">
      <c r="A75" s="1"/>
      <c r="B75" s="3"/>
      <c r="C75" s="3"/>
      <c r="D75" s="3"/>
      <c r="E75" s="106"/>
      <c r="F75" s="106"/>
      <c r="G75" s="106"/>
      <c r="H75" s="106"/>
      <c r="I75" s="106"/>
      <c r="L75" s="106"/>
      <c r="M75" s="106"/>
    </row>
    <row r="76" spans="1:13" s="34" customFormat="1" ht="12.95" customHeight="1">
      <c r="A76" s="1"/>
      <c r="B76" s="3"/>
      <c r="C76" s="3"/>
      <c r="D76" s="3"/>
      <c r="E76" s="106"/>
      <c r="F76" s="106"/>
      <c r="G76" s="106"/>
      <c r="H76" s="106"/>
      <c r="I76" s="106"/>
      <c r="J76" s="106"/>
      <c r="K76" s="106"/>
      <c r="L76" s="106"/>
      <c r="M76" s="106"/>
    </row>
    <row r="77" spans="1:112" s="2" customFormat="1" ht="21" customHeight="1">
      <c r="A77" s="102" t="s">
        <v>11</v>
      </c>
      <c r="B77" s="130"/>
      <c r="C77" s="103"/>
      <c r="D77" s="103"/>
      <c r="E77" s="103"/>
      <c r="F77" s="103"/>
      <c r="G77" s="103"/>
      <c r="H77" s="104"/>
      <c r="I77" s="104"/>
      <c r="J77" s="103"/>
      <c r="K77" s="104"/>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row>
    <row r="78" spans="1:112" s="147" customFormat="1" ht="12.95" customHeight="1">
      <c r="A78" s="102"/>
      <c r="B78" s="130"/>
      <c r="C78" s="103"/>
      <c r="D78" s="127"/>
      <c r="E78" s="103"/>
      <c r="F78" s="103"/>
      <c r="G78" s="103"/>
      <c r="H78" s="104"/>
      <c r="I78" s="129"/>
      <c r="J78" s="127"/>
      <c r="K78" s="129"/>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row>
    <row r="79" spans="1:8" ht="18" customHeight="1" thickBot="1">
      <c r="A79" s="116"/>
      <c r="B79" s="130"/>
      <c r="C79" s="193">
        <f>I1</f>
        <v>1995</v>
      </c>
      <c r="E79" s="103"/>
      <c r="F79" s="103"/>
      <c r="G79" s="103"/>
      <c r="H79" s="193">
        <f>I1</f>
        <v>1995</v>
      </c>
    </row>
    <row r="80" spans="1:8" ht="33" customHeight="1">
      <c r="A80" s="240" t="s">
        <v>200</v>
      </c>
      <c r="B80" s="240"/>
      <c r="C80" s="240"/>
      <c r="E80" s="240" t="s">
        <v>201</v>
      </c>
      <c r="F80" s="240"/>
      <c r="G80" s="240"/>
      <c r="H80" s="240"/>
    </row>
    <row r="81" spans="1:8" ht="18" customHeight="1">
      <c r="A81" s="34" t="s">
        <v>398</v>
      </c>
      <c r="C81" s="66">
        <f>IF(G22="    --","    --",G22/100)</f>
        <v>0.9518164720612363</v>
      </c>
      <c r="E81" s="33" t="s">
        <v>315</v>
      </c>
      <c r="F81" s="64"/>
      <c r="G81" s="64"/>
      <c r="H81" s="66">
        <f>IF((C53+C54)=0,"    --",H22/(C53+C54))</f>
        <v>0.06038478780812881</v>
      </c>
    </row>
    <row r="82" spans="1:8" ht="18" customHeight="1" thickBot="1">
      <c r="A82" s="71" t="s">
        <v>399</v>
      </c>
      <c r="B82" s="51"/>
      <c r="C82" s="72">
        <f>IF(G37="    --","    --",G37/100)</f>
        <v>0.9485004235447314</v>
      </c>
      <c r="E82" s="71" t="s">
        <v>316</v>
      </c>
      <c r="F82" s="51"/>
      <c r="G82" s="51"/>
      <c r="H82" s="72">
        <f>IF((C46+C47)=0,"    --",I37/(C46+C47))</f>
        <v>0.21170715116506295</v>
      </c>
    </row>
    <row r="83" spans="1:8" ht="18" customHeight="1">
      <c r="A83" s="33"/>
      <c r="B83" s="64"/>
      <c r="C83" s="66"/>
      <c r="E83" s="33"/>
      <c r="F83" s="64"/>
      <c r="G83" s="64"/>
      <c r="H83" s="66"/>
    </row>
    <row r="84" spans="1:5" ht="18" customHeight="1">
      <c r="A84" s="63" t="s">
        <v>425</v>
      </c>
      <c r="E84" s="34"/>
    </row>
    <row r="85" spans="1:3" ht="18" customHeight="1">
      <c r="A85" s="33"/>
      <c r="C85" s="33"/>
    </row>
    <row r="86" s="34" customFormat="1" ht="21" customHeight="1" hidden="1" thickBot="1">
      <c r="A86" s="102"/>
    </row>
    <row r="87" spans="1:11" s="34" customFormat="1" ht="21" customHeight="1" hidden="1">
      <c r="A87" s="102"/>
      <c r="B87" s="225" t="s">
        <v>350</v>
      </c>
      <c r="C87" s="228" t="s">
        <v>333</v>
      </c>
      <c r="D87" s="228" t="s">
        <v>334</v>
      </c>
      <c r="E87" s="245" t="s">
        <v>335</v>
      </c>
      <c r="F87" s="228" t="s">
        <v>336</v>
      </c>
      <c r="G87" s="223" t="s">
        <v>337</v>
      </c>
      <c r="H87" s="3"/>
      <c r="I87" s="3"/>
      <c r="J87" s="3"/>
      <c r="K87" s="3"/>
    </row>
    <row r="88" spans="1:11" s="34" customFormat="1" ht="21" customHeight="1" hidden="1">
      <c r="A88" s="102"/>
      <c r="B88" s="226"/>
      <c r="C88" s="229"/>
      <c r="D88" s="229"/>
      <c r="E88" s="246"/>
      <c r="F88" s="229"/>
      <c r="G88" s="224"/>
      <c r="H88" s="3"/>
      <c r="I88" s="3"/>
      <c r="J88" s="3"/>
      <c r="K88" s="3"/>
    </row>
    <row r="89" spans="1:11" s="34" customFormat="1" ht="21" customHeight="1" hidden="1">
      <c r="A89" s="102"/>
      <c r="B89" s="227"/>
      <c r="C89" s="157" t="s">
        <v>236</v>
      </c>
      <c r="D89" s="157" t="s">
        <v>232</v>
      </c>
      <c r="E89" s="157" t="s">
        <v>233</v>
      </c>
      <c r="F89" s="157" t="s">
        <v>234</v>
      </c>
      <c r="G89" s="157" t="s">
        <v>235</v>
      </c>
      <c r="H89" s="3"/>
      <c r="I89" s="3"/>
      <c r="J89" s="3"/>
      <c r="K89" s="3"/>
    </row>
    <row r="90" spans="1:11" s="34" customFormat="1" ht="21" customHeight="1" hidden="1">
      <c r="A90" s="102"/>
      <c r="B90" s="160" t="s">
        <v>240</v>
      </c>
      <c r="C90" s="122">
        <f>'[1]7100'!D5+'[2]7100'!D5</f>
        <v>153475.33000000002</v>
      </c>
      <c r="D90" s="122">
        <f>'[1]7100'!E5+'[2]7100'!E5</f>
        <v>0</v>
      </c>
      <c r="E90" s="122">
        <f>'[1]7100'!F5+'[2]7100'!F5</f>
        <v>153475.33000000002</v>
      </c>
      <c r="F90" s="122">
        <f>'[1]7100'!G5+'[2]7100'!G5</f>
        <v>153474.36</v>
      </c>
      <c r="G90" s="122">
        <f>'[1]7100'!H5+'[2]7100'!H5</f>
        <v>0.97</v>
      </c>
      <c r="H90" s="3"/>
      <c r="I90" s="3"/>
      <c r="J90" s="3"/>
      <c r="K90" s="3"/>
    </row>
    <row r="91" spans="1:11" s="34" customFormat="1" ht="21" customHeight="1" hidden="1">
      <c r="A91" s="102"/>
      <c r="B91" s="162" t="s">
        <v>241</v>
      </c>
      <c r="C91" s="122">
        <f>'[1]7100'!D6+'[2]7100'!D6</f>
        <v>764078.61</v>
      </c>
      <c r="D91" s="122">
        <f>'[1]7100'!E6+'[2]7100'!E6</f>
        <v>-10301.2</v>
      </c>
      <c r="E91" s="122">
        <f>'[1]7100'!F6+'[2]7100'!F6</f>
        <v>753777.4099999999</v>
      </c>
      <c r="F91" s="122">
        <f>'[1]7100'!G6+'[2]7100'!G6</f>
        <v>747265.85</v>
      </c>
      <c r="G91" s="122">
        <f>'[1]7100'!H6+'[2]7100'!H6</f>
        <v>6511.56</v>
      </c>
      <c r="H91" s="3"/>
      <c r="I91" s="3"/>
      <c r="J91" s="3"/>
      <c r="K91" s="3"/>
    </row>
    <row r="92" spans="1:11" s="34" customFormat="1" ht="21" customHeight="1" hidden="1">
      <c r="A92" s="102"/>
      <c r="B92" s="162" t="s">
        <v>242</v>
      </c>
      <c r="C92" s="122">
        <f>'[1]7100'!D7+'[2]7100'!D7</f>
        <v>116868.93</v>
      </c>
      <c r="D92" s="122">
        <f>'[1]7100'!E7+'[2]7100'!E7</f>
        <v>-113.06</v>
      </c>
      <c r="E92" s="122">
        <f>'[1]7100'!F7+'[2]7100'!F7</f>
        <v>116755.86</v>
      </c>
      <c r="F92" s="122">
        <f>'[1]7100'!G7+'[2]7100'!G7</f>
        <v>116755.86</v>
      </c>
      <c r="G92" s="122">
        <f>'[1]7100'!H7+'[2]7100'!H7</f>
        <v>0</v>
      </c>
      <c r="H92" s="3"/>
      <c r="I92" s="3"/>
      <c r="J92" s="3"/>
      <c r="K92" s="3"/>
    </row>
    <row r="93" spans="1:11" s="34" customFormat="1" ht="21" customHeight="1" hidden="1">
      <c r="A93" s="102"/>
      <c r="B93" s="162" t="s">
        <v>243</v>
      </c>
      <c r="C93" s="122">
        <f>'[1]7100'!D8+'[2]7100'!D8</f>
        <v>487649.95</v>
      </c>
      <c r="D93" s="122">
        <f>'[1]7100'!E8+'[2]7100'!E8</f>
        <v>0</v>
      </c>
      <c r="E93" s="122">
        <f>'[1]7100'!F8+'[2]7100'!F8</f>
        <v>487649.95</v>
      </c>
      <c r="F93" s="122">
        <f>'[1]7100'!G8+'[2]7100'!G8</f>
        <v>478334.27</v>
      </c>
      <c r="G93" s="122">
        <f>'[1]7100'!H8+'[2]7100'!H8</f>
        <v>9315.69</v>
      </c>
      <c r="H93" s="3"/>
      <c r="I93" s="3"/>
      <c r="J93" s="3"/>
      <c r="K93" s="3"/>
    </row>
    <row r="94" spans="1:11" s="34" customFormat="1" ht="21" customHeight="1" hidden="1">
      <c r="A94" s="102"/>
      <c r="B94" s="162" t="s">
        <v>244</v>
      </c>
      <c r="C94" s="122">
        <f>'[1]7100'!D9+'[2]7100'!D9</f>
        <v>569490.99</v>
      </c>
      <c r="D94" s="122">
        <f>'[1]7100'!E9+'[2]7100'!E9</f>
        <v>-1095.24</v>
      </c>
      <c r="E94" s="122">
        <f>'[1]7100'!F9+'[2]7100'!F9</f>
        <v>568395.75</v>
      </c>
      <c r="F94" s="122">
        <f>'[1]7100'!G9+'[2]7100'!G9</f>
        <v>522421.39999999997</v>
      </c>
      <c r="G94" s="122">
        <f>'[1]7100'!H9+'[2]7100'!H9</f>
        <v>45974.35</v>
      </c>
      <c r="H94" s="3"/>
      <c r="I94" s="3"/>
      <c r="J94" s="3"/>
      <c r="K94" s="3"/>
    </row>
    <row r="95" spans="1:11" s="34" customFormat="1" ht="21" customHeight="1" hidden="1">
      <c r="A95" s="102"/>
      <c r="B95" s="162" t="s">
        <v>245</v>
      </c>
      <c r="C95" s="122">
        <f>'[1]7100'!D10+'[2]7100'!D10</f>
        <v>50785.52</v>
      </c>
      <c r="D95" s="122">
        <f>'[1]7100'!E10+'[2]7100'!E10</f>
        <v>0</v>
      </c>
      <c r="E95" s="122">
        <f>'[1]7100'!F10+'[2]7100'!F10</f>
        <v>50785.52</v>
      </c>
      <c r="F95" s="122">
        <f>'[1]7100'!G10+'[2]7100'!G10</f>
        <v>9916.7</v>
      </c>
      <c r="G95" s="122">
        <f>'[1]7100'!H10+'[2]7100'!H10</f>
        <v>40868.82</v>
      </c>
      <c r="H95" s="3"/>
      <c r="I95" s="3"/>
      <c r="J95" s="3"/>
      <c r="K95" s="3"/>
    </row>
    <row r="96" spans="1:11" s="34" customFormat="1" ht="21" customHeight="1" hidden="1">
      <c r="A96" s="102"/>
      <c r="B96" s="162" t="s">
        <v>246</v>
      </c>
      <c r="C96" s="122">
        <f>'[1]7100'!D11+'[2]7100'!D11</f>
        <v>0</v>
      </c>
      <c r="D96" s="122">
        <f>'[1]7100'!E11+'[2]7100'!E11</f>
        <v>0</v>
      </c>
      <c r="E96" s="122">
        <f>'[1]7100'!F11+'[2]7100'!F11</f>
        <v>0</v>
      </c>
      <c r="F96" s="122">
        <f>'[1]7100'!G11+'[2]7100'!G11</f>
        <v>0</v>
      </c>
      <c r="G96" s="122">
        <f>'[1]7100'!H11+'[2]7100'!H11</f>
        <v>0</v>
      </c>
      <c r="H96" s="3"/>
      <c r="I96" s="3"/>
      <c r="J96" s="3"/>
      <c r="K96" s="3"/>
    </row>
    <row r="97" spans="1:11" s="34" customFormat="1" ht="21" customHeight="1" hidden="1">
      <c r="A97" s="102"/>
      <c r="B97" s="162" t="s">
        <v>247</v>
      </c>
      <c r="C97" s="122">
        <f>'[1]7100'!D12+'[2]7100'!D12</f>
        <v>0</v>
      </c>
      <c r="D97" s="122">
        <f>'[1]7100'!E12+'[2]7100'!E12</f>
        <v>0</v>
      </c>
      <c r="E97" s="122">
        <f>'[1]7100'!F12+'[2]7100'!F12</f>
        <v>0</v>
      </c>
      <c r="F97" s="122">
        <f>'[1]7100'!G12+'[2]7100'!G12</f>
        <v>0</v>
      </c>
      <c r="G97" s="122">
        <f>'[1]7100'!H12+'[2]7100'!H12</f>
        <v>0</v>
      </c>
      <c r="H97" s="3"/>
      <c r="I97" s="3"/>
      <c r="J97" s="3"/>
      <c r="K97" s="3"/>
    </row>
    <row r="98" spans="1:11" s="34" customFormat="1" ht="21" customHeight="1" hidden="1" thickBot="1">
      <c r="A98" s="102"/>
      <c r="B98" s="163" t="s">
        <v>338</v>
      </c>
      <c r="C98" s="164">
        <f>SUM(C90:C97)</f>
        <v>2142349.3299999996</v>
      </c>
      <c r="D98" s="164">
        <f>SUM(D90:D97)</f>
        <v>-11509.5</v>
      </c>
      <c r="E98" s="164">
        <f>SUM(E90:E97)</f>
        <v>2130839.82</v>
      </c>
      <c r="F98" s="164">
        <f>SUM(F90:F97)</f>
        <v>2028168.4399999997</v>
      </c>
      <c r="G98" s="165">
        <f>SUM(G90:G97)</f>
        <v>102671.39</v>
      </c>
      <c r="H98" s="3"/>
      <c r="I98" s="3"/>
      <c r="J98" s="3"/>
      <c r="K98" s="3"/>
    </row>
    <row r="99" spans="1:11" s="34" customFormat="1" ht="21" customHeight="1" hidden="1">
      <c r="A99" s="102"/>
      <c r="B99" s="3"/>
      <c r="C99" s="3"/>
      <c r="D99" s="3"/>
      <c r="E99" s="3"/>
      <c r="F99" s="3"/>
      <c r="G99" s="3"/>
      <c r="H99" s="3"/>
      <c r="I99" s="3"/>
      <c r="J99" s="3"/>
      <c r="K99" s="3"/>
    </row>
    <row r="100" spans="1:11" s="34" customFormat="1" ht="21" customHeight="1" hidden="1" thickBot="1">
      <c r="A100" s="102"/>
      <c r="B100" s="3"/>
      <c r="C100" s="3"/>
      <c r="D100" s="3"/>
      <c r="E100" s="3"/>
      <c r="F100" s="3"/>
      <c r="G100" s="3"/>
      <c r="H100" s="3"/>
      <c r="I100" s="3"/>
      <c r="J100" s="3"/>
      <c r="K100" s="3"/>
    </row>
    <row r="101" spans="1:11" s="34" customFormat="1" ht="21" customHeight="1" hidden="1">
      <c r="A101" s="102"/>
      <c r="B101" s="225" t="s">
        <v>351</v>
      </c>
      <c r="C101" s="228" t="s">
        <v>339</v>
      </c>
      <c r="D101" s="228" t="s">
        <v>340</v>
      </c>
      <c r="E101" s="245" t="s">
        <v>341</v>
      </c>
      <c r="F101" s="245" t="s">
        <v>342</v>
      </c>
      <c r="G101" s="228" t="s">
        <v>343</v>
      </c>
      <c r="H101" s="228" t="s">
        <v>344</v>
      </c>
      <c r="I101" s="228" t="s">
        <v>345</v>
      </c>
      <c r="J101" s="228" t="s">
        <v>346</v>
      </c>
      <c r="K101" s="223" t="s">
        <v>347</v>
      </c>
    </row>
    <row r="102" spans="1:11" s="34" customFormat="1" ht="21" customHeight="1" hidden="1">
      <c r="A102" s="102"/>
      <c r="B102" s="226"/>
      <c r="C102" s="229"/>
      <c r="D102" s="229"/>
      <c r="E102" s="246"/>
      <c r="F102" s="246"/>
      <c r="G102" s="229"/>
      <c r="H102" s="229"/>
      <c r="I102" s="229"/>
      <c r="J102" s="229"/>
      <c r="K102" s="224"/>
    </row>
    <row r="103" spans="1:11" s="34" customFormat="1" ht="21" customHeight="1" hidden="1">
      <c r="A103" s="102"/>
      <c r="B103" s="227"/>
      <c r="C103" s="157" t="s">
        <v>236</v>
      </c>
      <c r="D103" s="157" t="s">
        <v>232</v>
      </c>
      <c r="E103" s="157" t="s">
        <v>233</v>
      </c>
      <c r="F103" s="157" t="s">
        <v>234</v>
      </c>
      <c r="G103" s="157" t="s">
        <v>235</v>
      </c>
      <c r="H103" s="157" t="s">
        <v>237</v>
      </c>
      <c r="I103" s="157" t="s">
        <v>238</v>
      </c>
      <c r="J103" s="157" t="s">
        <v>239</v>
      </c>
      <c r="K103" s="157" t="s">
        <v>348</v>
      </c>
    </row>
    <row r="104" spans="1:13" s="34" customFormat="1" ht="21" customHeight="1" hidden="1">
      <c r="A104" s="102"/>
      <c r="B104" s="160" t="s">
        <v>254</v>
      </c>
      <c r="C104" s="122">
        <f>'[1]7100'!D19+'[2]7100'!D19</f>
        <v>0</v>
      </c>
      <c r="D104" s="122">
        <f>'[1]7100'!E19+'[2]7100'!E19</f>
        <v>0</v>
      </c>
      <c r="E104" s="122">
        <f>'[1]7100'!F19+'[2]7100'!F19</f>
        <v>0</v>
      </c>
      <c r="F104" s="122">
        <f>'[1]7100'!G19+'[2]7100'!G19</f>
        <v>0</v>
      </c>
      <c r="G104" s="122">
        <f>'[1]7100'!H19+'[2]7100'!H19</f>
        <v>0</v>
      </c>
      <c r="H104" s="122">
        <f>'[1]7100'!I19+'[2]7100'!I19</f>
        <v>0</v>
      </c>
      <c r="I104" s="122">
        <f>'[1]7100'!J19+'[2]7100'!J19</f>
        <v>0</v>
      </c>
      <c r="J104" s="122">
        <f>'[1]7100'!K19+'[2]7100'!K19</f>
        <v>0</v>
      </c>
      <c r="K104" s="122">
        <f>'[1]7100'!L19+'[2]7100'!L19</f>
        <v>0</v>
      </c>
      <c r="L104" s="122">
        <f>'[1]7100'!M19+'[2]7100'!M19</f>
        <v>0</v>
      </c>
      <c r="M104" s="122">
        <f>'[1]7100'!N19+'[2]7100'!N19</f>
        <v>0</v>
      </c>
    </row>
    <row r="105" spans="1:13" s="34" customFormat="1" ht="21" customHeight="1" hidden="1">
      <c r="A105" s="102"/>
      <c r="B105" s="162" t="s">
        <v>255</v>
      </c>
      <c r="C105" s="122">
        <f>'[1]7100'!D20+'[2]7100'!D20</f>
        <v>0</v>
      </c>
      <c r="D105" s="122">
        <f>'[1]7100'!E20+'[2]7100'!E20</f>
        <v>0</v>
      </c>
      <c r="E105" s="122">
        <f>'[1]7100'!F20+'[2]7100'!F20</f>
        <v>0</v>
      </c>
      <c r="F105" s="122">
        <f>'[1]7100'!G20+'[2]7100'!G20</f>
        <v>0</v>
      </c>
      <c r="G105" s="122">
        <f>'[1]7100'!H20+'[2]7100'!H20</f>
        <v>0</v>
      </c>
      <c r="H105" s="122">
        <f>'[1]7100'!I20+'[2]7100'!I20</f>
        <v>0</v>
      </c>
      <c r="I105" s="122">
        <f>'[1]7100'!J20+'[2]7100'!J20</f>
        <v>0</v>
      </c>
      <c r="J105" s="122">
        <f>'[1]7100'!K20+'[2]7100'!K20</f>
        <v>0</v>
      </c>
      <c r="K105" s="122">
        <f>'[1]7100'!L20+'[2]7100'!L20</f>
        <v>0</v>
      </c>
      <c r="L105" s="122">
        <f>'[1]7100'!M20+'[2]7100'!M20</f>
        <v>0</v>
      </c>
      <c r="M105" s="122">
        <f>'[1]7100'!N20+'[2]7100'!N20</f>
        <v>0</v>
      </c>
    </row>
    <row r="106" spans="1:13" s="34" customFormat="1" ht="21" customHeight="1" hidden="1">
      <c r="A106" s="102"/>
      <c r="B106" s="162" t="s">
        <v>256</v>
      </c>
      <c r="C106" s="122">
        <f>'[1]7100'!D21+'[2]7100'!D21</f>
        <v>4313.59</v>
      </c>
      <c r="D106" s="122">
        <f>'[1]7100'!E21+'[2]7100'!E21</f>
        <v>0</v>
      </c>
      <c r="E106" s="122">
        <f>'[1]7100'!F21+'[2]7100'!F21</f>
        <v>49.88</v>
      </c>
      <c r="F106" s="122">
        <f>'[1]7100'!G21+'[2]7100'!G21</f>
        <v>0</v>
      </c>
      <c r="G106" s="122">
        <f>'[1]7100'!H21+'[2]7100'!H21</f>
        <v>4263.71</v>
      </c>
      <c r="H106" s="122">
        <f>'[1]7100'!I21+'[2]7100'!I21</f>
        <v>4263.71</v>
      </c>
      <c r="I106" s="122">
        <f>'[1]7100'!J21+'[2]7100'!J21</f>
        <v>0</v>
      </c>
      <c r="J106" s="122">
        <f>'[1]7100'!K21+'[2]7100'!K21</f>
        <v>0</v>
      </c>
      <c r="K106" s="122">
        <f>'[1]7100'!L21+'[2]7100'!L21</f>
        <v>0</v>
      </c>
      <c r="L106" s="122">
        <f>'[1]7100'!M21+'[2]7100'!M21</f>
        <v>0</v>
      </c>
      <c r="M106" s="122">
        <f>'[1]7100'!N21+'[2]7100'!N21</f>
        <v>0</v>
      </c>
    </row>
    <row r="107" spans="1:13" s="34" customFormat="1" ht="21" customHeight="1" hidden="1">
      <c r="A107" s="102"/>
      <c r="B107" s="162" t="s">
        <v>243</v>
      </c>
      <c r="C107" s="122">
        <f>'[1]7100'!D22+'[2]7100'!D22</f>
        <v>242744.80000000002</v>
      </c>
      <c r="D107" s="122">
        <f>'[1]7100'!E22+'[2]7100'!E22</f>
        <v>0</v>
      </c>
      <c r="E107" s="122">
        <f>'[1]7100'!F22+'[2]7100'!F22</f>
        <v>113806.66</v>
      </c>
      <c r="F107" s="122">
        <f>'[1]7100'!G22+'[2]7100'!G22</f>
        <v>0</v>
      </c>
      <c r="G107" s="122">
        <f>'[1]7100'!H22+'[2]7100'!H22</f>
        <v>128938.14</v>
      </c>
      <c r="H107" s="122">
        <f>'[1]7100'!I22+'[2]7100'!I22</f>
        <v>128938.14</v>
      </c>
      <c r="I107" s="122">
        <f>'[1]7100'!J22+'[2]7100'!J22</f>
        <v>0</v>
      </c>
      <c r="J107" s="122">
        <f>'[1]7100'!K22+'[2]7100'!K22</f>
        <v>0</v>
      </c>
      <c r="K107" s="122">
        <f>'[1]7100'!L22+'[2]7100'!L22</f>
        <v>0</v>
      </c>
      <c r="L107" s="122">
        <f>'[1]7100'!M22+'[2]7100'!M22</f>
        <v>0</v>
      </c>
      <c r="M107" s="122">
        <f>'[1]7100'!N22+'[2]7100'!N22</f>
        <v>0</v>
      </c>
    </row>
    <row r="108" spans="1:13" s="34" customFormat="1" ht="21" customHeight="1" hidden="1">
      <c r="A108" s="102"/>
      <c r="B108" s="162" t="s">
        <v>257</v>
      </c>
      <c r="C108" s="122">
        <f>'[1]7100'!D23+'[2]7100'!D23</f>
        <v>71760.37</v>
      </c>
      <c r="D108" s="122">
        <f>'[1]7100'!E23+'[2]7100'!E23</f>
        <v>0</v>
      </c>
      <c r="E108" s="122">
        <f>'[1]7100'!F23+'[2]7100'!F23</f>
        <v>0</v>
      </c>
      <c r="F108" s="122">
        <f>'[1]7100'!G23+'[2]7100'!G23</f>
        <v>0</v>
      </c>
      <c r="G108" s="122">
        <f>'[1]7100'!H23+'[2]7100'!H23</f>
        <v>71760.37</v>
      </c>
      <c r="H108" s="122">
        <f>'[1]7100'!I23+'[2]7100'!I23</f>
        <v>71760.37</v>
      </c>
      <c r="I108" s="122">
        <f>'[1]7100'!J23+'[2]7100'!J23</f>
        <v>0</v>
      </c>
      <c r="J108" s="122">
        <f>'[1]7100'!K23+'[2]7100'!K23</f>
        <v>0</v>
      </c>
      <c r="K108" s="122">
        <f>'[1]7100'!L23+'[2]7100'!L23</f>
        <v>0</v>
      </c>
      <c r="L108" s="122">
        <f>'[1]7100'!M23+'[2]7100'!M23</f>
        <v>0</v>
      </c>
      <c r="M108" s="122">
        <f>'[1]7100'!N23+'[2]7100'!N23</f>
        <v>0</v>
      </c>
    </row>
    <row r="109" spans="1:13" s="34" customFormat="1" ht="21" customHeight="1" hidden="1">
      <c r="A109" s="102"/>
      <c r="B109" s="162" t="s">
        <v>258</v>
      </c>
      <c r="C109" s="122">
        <f>'[1]7100'!D24+'[2]7100'!D24</f>
        <v>0</v>
      </c>
      <c r="D109" s="122">
        <f>'[1]7100'!E24+'[2]7100'!E24</f>
        <v>0</v>
      </c>
      <c r="E109" s="122">
        <f>'[1]7100'!F24+'[2]7100'!F24</f>
        <v>0</v>
      </c>
      <c r="F109" s="122">
        <f>'[1]7100'!G24+'[2]7100'!G24</f>
        <v>0</v>
      </c>
      <c r="G109" s="122">
        <f>'[1]7100'!H24+'[2]7100'!H24</f>
        <v>0</v>
      </c>
      <c r="H109" s="122">
        <f>'[1]7100'!I24+'[2]7100'!I24</f>
        <v>0</v>
      </c>
      <c r="I109" s="122">
        <f>'[1]7100'!J24+'[2]7100'!J24</f>
        <v>0</v>
      </c>
      <c r="J109" s="122">
        <f>'[1]7100'!K24+'[2]7100'!K24</f>
        <v>0</v>
      </c>
      <c r="K109" s="122">
        <f>'[1]7100'!L24+'[2]7100'!L24</f>
        <v>0</v>
      </c>
      <c r="L109" s="122">
        <f>'[1]7100'!M24+'[2]7100'!M24</f>
        <v>0</v>
      </c>
      <c r="M109" s="122">
        <f>'[1]7100'!N24+'[2]7100'!N24</f>
        <v>0</v>
      </c>
    </row>
    <row r="110" spans="1:13" s="34" customFormat="1" ht="21" customHeight="1" hidden="1">
      <c r="A110" s="102"/>
      <c r="B110" s="162" t="s">
        <v>245</v>
      </c>
      <c r="C110" s="122">
        <f>'[1]7100'!D25+'[2]7100'!D25</f>
        <v>3424937.73</v>
      </c>
      <c r="D110" s="122">
        <f>'[1]7100'!E25+'[2]7100'!E25</f>
        <v>0</v>
      </c>
      <c r="E110" s="122">
        <f>'[1]7100'!F25+'[2]7100'!F25</f>
        <v>0</v>
      </c>
      <c r="F110" s="122">
        <f>'[1]7100'!G25+'[2]7100'!G25</f>
        <v>0</v>
      </c>
      <c r="G110" s="122">
        <f>'[1]7100'!H25+'[2]7100'!H25</f>
        <v>3424937.73</v>
      </c>
      <c r="H110" s="122">
        <f>'[1]7100'!I25+'[2]7100'!I25</f>
        <v>3237999.42</v>
      </c>
      <c r="I110" s="122">
        <f>'[1]7100'!J25+'[2]7100'!J25</f>
        <v>0</v>
      </c>
      <c r="J110" s="122">
        <f>'[1]7100'!K25+'[2]7100'!K25</f>
        <v>0</v>
      </c>
      <c r="K110" s="122">
        <f>'[1]7100'!L25+'[2]7100'!L25</f>
        <v>186938.31</v>
      </c>
      <c r="L110" s="122">
        <f>'[1]7100'!M25+'[2]7100'!M25</f>
        <v>0</v>
      </c>
      <c r="M110" s="122">
        <f>'[1]7100'!N25+'[2]7100'!N25</f>
        <v>0</v>
      </c>
    </row>
    <row r="111" spans="1:13" s="34" customFormat="1" ht="21" customHeight="1" hidden="1">
      <c r="A111" s="102"/>
      <c r="B111" s="162" t="s">
        <v>246</v>
      </c>
      <c r="C111" s="122">
        <f>'[1]7100'!D26+'[2]7100'!D26</f>
        <v>0</v>
      </c>
      <c r="D111" s="122">
        <f>'[1]7100'!E26+'[2]7100'!E26</f>
        <v>0</v>
      </c>
      <c r="E111" s="122">
        <f>'[1]7100'!F26+'[2]7100'!F26</f>
        <v>0</v>
      </c>
      <c r="F111" s="122">
        <f>'[1]7100'!G26+'[2]7100'!G26</f>
        <v>0</v>
      </c>
      <c r="G111" s="122">
        <f>'[1]7100'!H26+'[2]7100'!H26</f>
        <v>0</v>
      </c>
      <c r="H111" s="122">
        <f>'[1]7100'!I26+'[2]7100'!I26</f>
        <v>0</v>
      </c>
      <c r="I111" s="122">
        <f>'[1]7100'!J26+'[2]7100'!J26</f>
        <v>0</v>
      </c>
      <c r="J111" s="122">
        <f>'[1]7100'!K26+'[2]7100'!K26</f>
        <v>0</v>
      </c>
      <c r="K111" s="122">
        <f>'[1]7100'!L26+'[2]7100'!L26</f>
        <v>0</v>
      </c>
      <c r="L111" s="122">
        <f>'[1]7100'!M26+'[2]7100'!M26</f>
        <v>0</v>
      </c>
      <c r="M111" s="122">
        <f>'[1]7100'!N26+'[2]7100'!N26</f>
        <v>0</v>
      </c>
    </row>
    <row r="112" spans="1:13" s="34" customFormat="1" ht="21" customHeight="1" hidden="1">
      <c r="A112" s="102"/>
      <c r="B112" s="166" t="s">
        <v>247</v>
      </c>
      <c r="C112" s="122">
        <f>'[1]7100'!D27+'[2]7100'!D27</f>
        <v>0</v>
      </c>
      <c r="D112" s="122">
        <f>'[1]7100'!E27+'[2]7100'!E27</f>
        <v>0</v>
      </c>
      <c r="E112" s="122">
        <f>'[1]7100'!F27+'[2]7100'!F27</f>
        <v>0</v>
      </c>
      <c r="F112" s="122">
        <f>'[1]7100'!G27+'[2]7100'!G27</f>
        <v>0</v>
      </c>
      <c r="G112" s="122">
        <f>'[1]7100'!H27+'[2]7100'!H27</f>
        <v>0</v>
      </c>
      <c r="H112" s="122">
        <f>'[1]7100'!I27+'[2]7100'!I27</f>
        <v>0</v>
      </c>
      <c r="I112" s="122">
        <f>'[1]7100'!J27+'[2]7100'!J27</f>
        <v>0</v>
      </c>
      <c r="J112" s="122">
        <f>'[1]7100'!K27+'[2]7100'!K27</f>
        <v>0</v>
      </c>
      <c r="K112" s="122">
        <f>'[1]7100'!L27+'[2]7100'!L27</f>
        <v>0</v>
      </c>
      <c r="L112" s="122">
        <f>'[1]7100'!M27+'[2]7100'!M27</f>
        <v>0</v>
      </c>
      <c r="M112" s="122">
        <f>'[1]7100'!N27+'[2]7100'!N27</f>
        <v>0</v>
      </c>
    </row>
    <row r="113" spans="1:11" s="34" customFormat="1" ht="21" customHeight="1" hidden="1" thickBot="1">
      <c r="A113" s="102"/>
      <c r="B113" s="163" t="s">
        <v>349</v>
      </c>
      <c r="C113" s="164">
        <f aca="true" t="shared" si="12" ref="C113:K113">SUM(C104:C112)</f>
        <v>3743756.49</v>
      </c>
      <c r="D113" s="164">
        <f t="shared" si="12"/>
        <v>0</v>
      </c>
      <c r="E113" s="164">
        <f t="shared" si="12"/>
        <v>113856.54000000001</v>
      </c>
      <c r="F113" s="164">
        <f t="shared" si="12"/>
        <v>0</v>
      </c>
      <c r="G113" s="164">
        <f t="shared" si="12"/>
        <v>3629899.95</v>
      </c>
      <c r="H113" s="164">
        <f t="shared" si="12"/>
        <v>3442961.64</v>
      </c>
      <c r="I113" s="164">
        <f t="shared" si="12"/>
        <v>0</v>
      </c>
      <c r="J113" s="164">
        <f t="shared" si="12"/>
        <v>0</v>
      </c>
      <c r="K113" s="164">
        <f t="shared" si="12"/>
        <v>186938.31</v>
      </c>
    </row>
    <row r="114" s="34" customFormat="1" ht="21" customHeight="1" hidden="1">
      <c r="A114" s="102"/>
    </row>
    <row r="115" s="34" customFormat="1" ht="21" customHeight="1" hidden="1" thickBot="1">
      <c r="A115" s="102"/>
    </row>
    <row r="116" spans="1:6" s="34" customFormat="1" ht="33" customHeight="1" hidden="1">
      <c r="A116" s="102"/>
      <c r="B116" s="179" t="s">
        <v>352</v>
      </c>
      <c r="C116" s="180" t="s">
        <v>317</v>
      </c>
      <c r="E116" s="179" t="s">
        <v>353</v>
      </c>
      <c r="F116" s="180" t="s">
        <v>317</v>
      </c>
    </row>
    <row r="117" spans="1:11" s="34" customFormat="1" ht="12.95" customHeight="1" hidden="1">
      <c r="A117" s="102"/>
      <c r="B117" s="181" t="s">
        <v>318</v>
      </c>
      <c r="C117" s="190">
        <f>'[1]6100'!D3+'[2]6100'!D3</f>
        <v>937555.22</v>
      </c>
      <c r="D117" s="44"/>
      <c r="E117" s="185" t="s">
        <v>331</v>
      </c>
      <c r="F117" s="190">
        <f>'[1]6100'!D23+'[2]6100'!D23</f>
        <v>29568842.55</v>
      </c>
      <c r="G117" s="44"/>
      <c r="H117" s="44"/>
      <c r="I117" s="44"/>
      <c r="J117" s="44"/>
      <c r="K117" s="44"/>
    </row>
    <row r="118" spans="2:6" ht="15.75" hidden="1">
      <c r="B118" s="182" t="s">
        <v>319</v>
      </c>
      <c r="C118" s="190">
        <f>'[1]6100'!D4+'[2]6100'!D4</f>
        <v>696065.92</v>
      </c>
      <c r="E118" s="186" t="s">
        <v>283</v>
      </c>
      <c r="F118" s="190">
        <f>'[1]6100'!D24+'[2]6100'!D24</f>
        <v>16647264.01</v>
      </c>
    </row>
    <row r="119" spans="2:6" ht="15.75" hidden="1">
      <c r="B119" s="182" t="s">
        <v>320</v>
      </c>
      <c r="C119" s="190">
        <f>'[1]6100'!D5+'[2]6100'!D5</f>
        <v>186938.31</v>
      </c>
      <c r="E119" s="186" t="s">
        <v>285</v>
      </c>
      <c r="F119" s="190">
        <f>'[1]6100'!D25+'[2]6100'!D25</f>
        <v>3442961.62</v>
      </c>
    </row>
    <row r="120" spans="2:6" ht="15.75" hidden="1">
      <c r="B120" s="182" t="s">
        <v>321</v>
      </c>
      <c r="C120" s="190">
        <f>'[1]6100'!D6+'[2]6100'!D6</f>
        <v>80979.68999999999</v>
      </c>
      <c r="E120" s="186" t="s">
        <v>288</v>
      </c>
      <c r="F120" s="190">
        <f>'[1]6100'!D26+'[2]6100'!D26</f>
        <v>4831545.25</v>
      </c>
    </row>
    <row r="121" spans="2:6" ht="15.75" hidden="1">
      <c r="B121" s="182" t="s">
        <v>322</v>
      </c>
      <c r="C121" s="190">
        <f>'[1]6100'!D7+'[2]6100'!D7</f>
        <v>85135.44</v>
      </c>
      <c r="E121" s="182" t="s">
        <v>290</v>
      </c>
      <c r="F121" s="190">
        <f>'[1]6100'!D27+'[2]6100'!D27</f>
        <v>4647071.66</v>
      </c>
    </row>
    <row r="122" spans="2:6" ht="15.75" hidden="1">
      <c r="B122" s="182" t="s">
        <v>323</v>
      </c>
      <c r="C122" s="190">
        <f>'[1]6100'!D8+'[2]6100'!D8</f>
        <v>0</v>
      </c>
      <c r="E122" s="187" t="s">
        <v>293</v>
      </c>
      <c r="F122" s="190">
        <f>'[1]6100'!D28+'[2]6100'!D28</f>
        <v>29961655.509999998</v>
      </c>
    </row>
    <row r="123" spans="2:6" ht="15.75" hidden="1">
      <c r="B123" s="182" t="s">
        <v>324</v>
      </c>
      <c r="C123" s="190">
        <f>'[1]6100'!D9+'[2]6100'!D9</f>
        <v>111564.13</v>
      </c>
      <c r="E123" s="186" t="s">
        <v>283</v>
      </c>
      <c r="F123" s="190">
        <f>'[1]6100'!D29+'[2]6100'!D29</f>
        <v>18085257.05</v>
      </c>
    </row>
    <row r="124" spans="2:6" ht="15.75" hidden="1">
      <c r="B124" s="181" t="s">
        <v>325</v>
      </c>
      <c r="C124" s="190">
        <f>'[1]6100'!D10+'[2]6100'!D10</f>
        <v>3679660.71</v>
      </c>
      <c r="E124" s="186" t="s">
        <v>285</v>
      </c>
      <c r="F124" s="190">
        <f>'[1]6100'!D30+'[2]6100'!D30</f>
        <v>2028168.44</v>
      </c>
    </row>
    <row r="125" spans="1:11" s="34" customFormat="1" ht="18" customHeight="1" hidden="1">
      <c r="A125" s="3"/>
      <c r="B125" s="182" t="s">
        <v>319</v>
      </c>
      <c r="C125" s="190">
        <f>'[1]6100'!D11+'[2]6100'!D11</f>
        <v>1597614.29</v>
      </c>
      <c r="D125" s="106"/>
      <c r="E125" s="186" t="s">
        <v>288</v>
      </c>
      <c r="F125" s="190">
        <f>'[1]6100'!D31+'[2]6100'!D31</f>
        <v>5351648.25</v>
      </c>
      <c r="G125" s="106"/>
      <c r="H125" s="106"/>
      <c r="I125" s="106"/>
      <c r="J125" s="106"/>
      <c r="K125" s="106"/>
    </row>
    <row r="126" spans="2:6" ht="15.75" hidden="1">
      <c r="B126" s="182" t="s">
        <v>320</v>
      </c>
      <c r="C126" s="190">
        <f>'[1]6100'!D12+'[2]6100'!D12</f>
        <v>102671.39</v>
      </c>
      <c r="E126" s="182" t="s">
        <v>290</v>
      </c>
      <c r="F126" s="190">
        <f>'[1]6100'!D32+'[2]6100'!D32</f>
        <v>4496581.77</v>
      </c>
    </row>
    <row r="127" spans="2:6" ht="15.75" hidden="1">
      <c r="B127" s="182" t="s">
        <v>321</v>
      </c>
      <c r="C127" s="190">
        <f>'[1]6100'!D13+'[2]6100'!D13</f>
        <v>1368878.57</v>
      </c>
      <c r="E127" s="188" t="s">
        <v>332</v>
      </c>
      <c r="F127" s="190">
        <f>'[1]6100'!D33+'[2]6100'!D33</f>
        <v>-392812.94999999995</v>
      </c>
    </row>
    <row r="128" spans="2:6" ht="15.75" hidden="1">
      <c r="B128" s="182" t="s">
        <v>322</v>
      </c>
      <c r="C128" s="190">
        <f>'[1]6100'!D14+'[2]6100'!D14</f>
        <v>610496.47</v>
      </c>
      <c r="E128" s="188" t="s">
        <v>304</v>
      </c>
      <c r="F128" s="190">
        <f>'[1]6100'!D34+'[2]6100'!D34</f>
        <v>1619940.98</v>
      </c>
    </row>
    <row r="129" spans="1:39" ht="12.95" customHeight="1" hidden="1" thickBot="1">
      <c r="A129" s="87"/>
      <c r="B129" s="182" t="s">
        <v>326</v>
      </c>
      <c r="C129" s="190">
        <f>'[1]6100'!D15+'[2]6100'!D15</f>
        <v>0</v>
      </c>
      <c r="D129" s="45"/>
      <c r="E129" s="189" t="s">
        <v>308</v>
      </c>
      <c r="F129" s="190">
        <f>'[1]6100'!D35+'[2]6100'!D35</f>
        <v>1227128.02</v>
      </c>
      <c r="G129" s="45"/>
      <c r="H129" s="45"/>
      <c r="I129" s="45"/>
      <c r="J129" s="45"/>
      <c r="K129" s="45"/>
      <c r="L129" s="103"/>
      <c r="M129" s="104"/>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row>
    <row r="130" spans="2:11" ht="18" customHeight="1" hidden="1">
      <c r="B130" s="181" t="s">
        <v>327</v>
      </c>
      <c r="C130" s="190">
        <f>'[1]6100'!D16+'[2]6100'!D16</f>
        <v>1227128.02</v>
      </c>
      <c r="D130" s="45"/>
      <c r="G130" s="45"/>
      <c r="H130" s="45"/>
      <c r="I130" s="45"/>
      <c r="J130" s="45"/>
      <c r="K130" s="45"/>
    </row>
    <row r="131" spans="1:11" ht="18" customHeight="1" hidden="1">
      <c r="A131" s="1"/>
      <c r="B131" s="183" t="s">
        <v>328</v>
      </c>
      <c r="C131" s="190">
        <f>'[1]6100'!D17+'[2]6100'!D17</f>
        <v>0</v>
      </c>
      <c r="D131" s="45"/>
      <c r="G131" s="45"/>
      <c r="H131" s="45"/>
      <c r="I131" s="45"/>
      <c r="J131" s="45"/>
      <c r="K131" s="45"/>
    </row>
    <row r="132" spans="2:11" ht="18" customHeight="1" hidden="1">
      <c r="B132" s="183" t="s">
        <v>329</v>
      </c>
      <c r="C132" s="190">
        <f>'[1]6100'!D18+'[2]6100'!D18</f>
        <v>-1514977.4699999997</v>
      </c>
      <c r="D132" s="45"/>
      <c r="G132" s="45"/>
      <c r="H132" s="45"/>
      <c r="I132" s="45"/>
      <c r="J132" s="45"/>
      <c r="K132" s="45"/>
    </row>
    <row r="133" spans="1:11" ht="16.5" hidden="1" thickBot="1">
      <c r="A133" s="33"/>
      <c r="B133" s="184" t="s">
        <v>330</v>
      </c>
      <c r="C133" s="190">
        <f>'[1]6100'!D19+'[2]6100'!D19</f>
        <v>-1514977.4699999997</v>
      </c>
      <c r="D133" s="45"/>
      <c r="G133" s="45"/>
      <c r="H133" s="45"/>
      <c r="I133" s="45"/>
      <c r="J133" s="45"/>
      <c r="K133" s="45"/>
    </row>
    <row r="134" spans="1:11" ht="15.75" hidden="1">
      <c r="A134" s="33"/>
      <c r="D134" s="45"/>
      <c r="E134" s="45"/>
      <c r="F134" s="45"/>
      <c r="G134" s="45"/>
      <c r="H134" s="45"/>
      <c r="I134" s="45"/>
      <c r="J134" s="45"/>
      <c r="K134" s="45"/>
    </row>
    <row r="135" spans="5:11" ht="16.5" hidden="1" thickBot="1">
      <c r="E135" s="45"/>
      <c r="F135" s="45"/>
      <c r="G135" s="45"/>
      <c r="H135" s="45"/>
      <c r="I135" s="45"/>
      <c r="J135" s="45"/>
      <c r="K135" s="45"/>
    </row>
    <row r="136" spans="2:11" ht="15.75" hidden="1">
      <c r="B136" s="225" t="s">
        <v>354</v>
      </c>
      <c r="C136" s="228" t="s">
        <v>333</v>
      </c>
      <c r="D136" s="228" t="s">
        <v>334</v>
      </c>
      <c r="E136" s="245" t="s">
        <v>335</v>
      </c>
      <c r="F136" s="228" t="s">
        <v>336</v>
      </c>
      <c r="G136" s="223" t="s">
        <v>337</v>
      </c>
      <c r="I136" s="45"/>
      <c r="J136" s="45"/>
      <c r="K136" s="45"/>
    </row>
    <row r="137" spans="2:11" ht="15.75" hidden="1">
      <c r="B137" s="226"/>
      <c r="C137" s="229"/>
      <c r="D137" s="229"/>
      <c r="E137" s="246"/>
      <c r="F137" s="229"/>
      <c r="G137" s="224"/>
      <c r="I137" s="45"/>
      <c r="J137" s="45"/>
      <c r="K137" s="45"/>
    </row>
    <row r="138" spans="2:11" ht="15.75" hidden="1">
      <c r="B138" s="227"/>
      <c r="C138" s="157" t="s">
        <v>236</v>
      </c>
      <c r="D138" s="157" t="s">
        <v>232</v>
      </c>
      <c r="E138" s="157" t="s">
        <v>233</v>
      </c>
      <c r="F138" s="157" t="s">
        <v>234</v>
      </c>
      <c r="G138" s="157" t="s">
        <v>235</v>
      </c>
      <c r="I138" s="45"/>
      <c r="J138" s="45"/>
      <c r="K138" s="45"/>
    </row>
    <row r="139" spans="2:11" ht="15.75" hidden="1">
      <c r="B139" s="160" t="s">
        <v>240</v>
      </c>
      <c r="C139" s="161">
        <v>0</v>
      </c>
      <c r="D139" s="161">
        <v>0</v>
      </c>
      <c r="E139" s="161">
        <v>0</v>
      </c>
      <c r="F139" s="161">
        <v>0</v>
      </c>
      <c r="G139" s="161">
        <v>0</v>
      </c>
      <c r="I139" s="45"/>
      <c r="J139" s="45"/>
      <c r="K139" s="45"/>
    </row>
    <row r="140" spans="2:11" ht="15.75" hidden="1">
      <c r="B140" s="162" t="s">
        <v>241</v>
      </c>
      <c r="C140" s="161">
        <v>0</v>
      </c>
      <c r="D140" s="161">
        <v>0</v>
      </c>
      <c r="E140" s="161">
        <v>0</v>
      </c>
      <c r="F140" s="161">
        <v>0</v>
      </c>
      <c r="G140" s="161">
        <v>0</v>
      </c>
      <c r="I140" s="45"/>
      <c r="J140" s="45"/>
      <c r="K140" s="45"/>
    </row>
    <row r="141" spans="2:11" ht="15.75" hidden="1">
      <c r="B141" s="162" t="s">
        <v>242</v>
      </c>
      <c r="C141" s="161">
        <v>0</v>
      </c>
      <c r="D141" s="161">
        <v>0</v>
      </c>
      <c r="E141" s="161">
        <v>0</v>
      </c>
      <c r="F141" s="161">
        <v>0</v>
      </c>
      <c r="G141" s="161">
        <v>0</v>
      </c>
      <c r="I141" s="45"/>
      <c r="J141" s="45"/>
      <c r="K141" s="45"/>
    </row>
    <row r="142" spans="2:11" ht="15.75" hidden="1">
      <c r="B142" s="162" t="s">
        <v>243</v>
      </c>
      <c r="C142" s="161">
        <v>0</v>
      </c>
      <c r="D142" s="161">
        <v>0</v>
      </c>
      <c r="E142" s="161">
        <v>0</v>
      </c>
      <c r="F142" s="161">
        <v>0</v>
      </c>
      <c r="G142" s="161">
        <v>0</v>
      </c>
      <c r="I142" s="45"/>
      <c r="J142" s="45"/>
      <c r="K142" s="45"/>
    </row>
    <row r="143" spans="2:11" ht="15.75" hidden="1">
      <c r="B143" s="162" t="s">
        <v>244</v>
      </c>
      <c r="C143" s="161">
        <v>0</v>
      </c>
      <c r="D143" s="161">
        <v>0</v>
      </c>
      <c r="E143" s="161">
        <v>0</v>
      </c>
      <c r="F143" s="161">
        <v>0</v>
      </c>
      <c r="G143" s="161">
        <v>0</v>
      </c>
      <c r="I143" s="45"/>
      <c r="J143" s="45"/>
      <c r="K143" s="45"/>
    </row>
    <row r="144" spans="2:11" ht="15.75" hidden="1">
      <c r="B144" s="162" t="s">
        <v>245</v>
      </c>
      <c r="C144" s="161">
        <v>0</v>
      </c>
      <c r="D144" s="161">
        <v>0</v>
      </c>
      <c r="E144" s="161">
        <v>0</v>
      </c>
      <c r="F144" s="161">
        <v>0</v>
      </c>
      <c r="G144" s="161">
        <v>0</v>
      </c>
      <c r="I144" s="45"/>
      <c r="J144" s="45"/>
      <c r="K144" s="45"/>
    </row>
    <row r="145" spans="2:11" ht="15.75" hidden="1">
      <c r="B145" s="162" t="s">
        <v>246</v>
      </c>
      <c r="C145" s="161">
        <v>0</v>
      </c>
      <c r="D145" s="161">
        <v>0</v>
      </c>
      <c r="E145" s="161">
        <v>0</v>
      </c>
      <c r="F145" s="161">
        <v>0</v>
      </c>
      <c r="G145" s="161">
        <v>0</v>
      </c>
      <c r="I145" s="45"/>
      <c r="J145" s="45"/>
      <c r="K145" s="45"/>
    </row>
    <row r="146" spans="2:11" ht="15.75" hidden="1">
      <c r="B146" s="162" t="s">
        <v>247</v>
      </c>
      <c r="C146" s="161">
        <v>0</v>
      </c>
      <c r="D146" s="161">
        <v>0</v>
      </c>
      <c r="E146" s="161">
        <v>0</v>
      </c>
      <c r="F146" s="161">
        <v>0</v>
      </c>
      <c r="G146" s="161">
        <v>0</v>
      </c>
      <c r="I146" s="45"/>
      <c r="J146" s="45"/>
      <c r="K146" s="45"/>
    </row>
    <row r="147" spans="2:11" ht="16.5" hidden="1" thickBot="1">
      <c r="B147" s="163" t="s">
        <v>338</v>
      </c>
      <c r="C147" s="164">
        <f>SUM(C139:C146)</f>
        <v>0</v>
      </c>
      <c r="D147" s="164">
        <f>SUM(D139:D146)</f>
        <v>0</v>
      </c>
      <c r="E147" s="164">
        <f>SUM(E139:E146)</f>
        <v>0</v>
      </c>
      <c r="F147" s="164">
        <f>SUM(F139:F146)</f>
        <v>0</v>
      </c>
      <c r="G147" s="165">
        <f>SUM(G139:G146)</f>
        <v>0</v>
      </c>
      <c r="I147" s="45"/>
      <c r="J147" s="45"/>
      <c r="K147" s="45"/>
    </row>
    <row r="148" spans="10:11" ht="15.75" hidden="1">
      <c r="J148" s="45"/>
      <c r="K148" s="45"/>
    </row>
    <row r="149" spans="10:11" ht="16.5" hidden="1" thickBot="1">
      <c r="J149" s="45"/>
      <c r="K149" s="45"/>
    </row>
    <row r="150" spans="2:11" ht="12.75" hidden="1">
      <c r="B150" s="225" t="s">
        <v>355</v>
      </c>
      <c r="C150" s="228" t="s">
        <v>339</v>
      </c>
      <c r="D150" s="228" t="s">
        <v>340</v>
      </c>
      <c r="E150" s="245" t="s">
        <v>341</v>
      </c>
      <c r="F150" s="245" t="s">
        <v>342</v>
      </c>
      <c r="G150" s="228" t="s">
        <v>343</v>
      </c>
      <c r="H150" s="228" t="s">
        <v>344</v>
      </c>
      <c r="I150" s="228" t="s">
        <v>345</v>
      </c>
      <c r="J150" s="228" t="s">
        <v>346</v>
      </c>
      <c r="K150" s="223" t="s">
        <v>347</v>
      </c>
    </row>
    <row r="151" spans="2:11" ht="12.75" hidden="1">
      <c r="B151" s="226"/>
      <c r="C151" s="229"/>
      <c r="D151" s="229"/>
      <c r="E151" s="246"/>
      <c r="F151" s="246"/>
      <c r="G151" s="229"/>
      <c r="H151" s="229"/>
      <c r="I151" s="229"/>
      <c r="J151" s="229"/>
      <c r="K151" s="224"/>
    </row>
    <row r="152" spans="2:11" ht="12.75" hidden="1">
      <c r="B152" s="227"/>
      <c r="C152" s="157" t="s">
        <v>236</v>
      </c>
      <c r="D152" s="157" t="s">
        <v>232</v>
      </c>
      <c r="E152" s="157" t="s">
        <v>233</v>
      </c>
      <c r="F152" s="157" t="s">
        <v>234</v>
      </c>
      <c r="G152" s="157" t="s">
        <v>235</v>
      </c>
      <c r="H152" s="157" t="s">
        <v>237</v>
      </c>
      <c r="I152" s="157" t="s">
        <v>238</v>
      </c>
      <c r="J152" s="157" t="s">
        <v>239</v>
      </c>
      <c r="K152" s="157" t="s">
        <v>348</v>
      </c>
    </row>
    <row r="153" spans="2:11" ht="12.75" hidden="1">
      <c r="B153" s="160" t="s">
        <v>254</v>
      </c>
      <c r="C153" s="161">
        <v>0</v>
      </c>
      <c r="D153" s="161">
        <v>0</v>
      </c>
      <c r="E153" s="161">
        <v>0</v>
      </c>
      <c r="F153" s="161">
        <v>0</v>
      </c>
      <c r="G153" s="161">
        <v>0</v>
      </c>
      <c r="H153" s="161">
        <v>0</v>
      </c>
      <c r="I153" s="161">
        <v>0</v>
      </c>
      <c r="J153" s="161">
        <v>0</v>
      </c>
      <c r="K153" s="161">
        <v>0</v>
      </c>
    </row>
    <row r="154" spans="2:11" ht="12.75" hidden="1">
      <c r="B154" s="162" t="s">
        <v>255</v>
      </c>
      <c r="C154" s="161">
        <v>0</v>
      </c>
      <c r="D154" s="161">
        <v>0</v>
      </c>
      <c r="E154" s="161">
        <v>0</v>
      </c>
      <c r="F154" s="161">
        <v>0</v>
      </c>
      <c r="G154" s="161">
        <v>0</v>
      </c>
      <c r="H154" s="161">
        <v>0</v>
      </c>
      <c r="I154" s="161">
        <v>0</v>
      </c>
      <c r="J154" s="161">
        <v>0</v>
      </c>
      <c r="K154" s="161">
        <v>0</v>
      </c>
    </row>
    <row r="155" spans="2:11" ht="12.75" hidden="1">
      <c r="B155" s="162" t="s">
        <v>256</v>
      </c>
      <c r="C155" s="161">
        <v>0</v>
      </c>
      <c r="D155" s="161">
        <v>0</v>
      </c>
      <c r="E155" s="161">
        <v>0</v>
      </c>
      <c r="F155" s="161">
        <v>0</v>
      </c>
      <c r="G155" s="161">
        <v>0</v>
      </c>
      <c r="H155" s="161">
        <v>0</v>
      </c>
      <c r="I155" s="161">
        <v>0</v>
      </c>
      <c r="J155" s="161">
        <v>0</v>
      </c>
      <c r="K155" s="161">
        <v>0</v>
      </c>
    </row>
    <row r="156" spans="2:11" ht="12.75" hidden="1">
      <c r="B156" s="162" t="s">
        <v>243</v>
      </c>
      <c r="C156" s="161">
        <v>0</v>
      </c>
      <c r="D156" s="161">
        <v>0</v>
      </c>
      <c r="E156" s="161">
        <v>0</v>
      </c>
      <c r="F156" s="161">
        <v>0</v>
      </c>
      <c r="G156" s="161">
        <v>0</v>
      </c>
      <c r="H156" s="161">
        <v>0</v>
      </c>
      <c r="I156" s="161">
        <v>0</v>
      </c>
      <c r="J156" s="161">
        <v>0</v>
      </c>
      <c r="K156" s="161">
        <v>0</v>
      </c>
    </row>
    <row r="157" spans="2:11" ht="12.75" hidden="1">
      <c r="B157" s="162" t="s">
        <v>257</v>
      </c>
      <c r="C157" s="161">
        <v>0</v>
      </c>
      <c r="D157" s="161">
        <v>0</v>
      </c>
      <c r="E157" s="161">
        <v>0</v>
      </c>
      <c r="F157" s="161">
        <v>0</v>
      </c>
      <c r="G157" s="161">
        <v>0</v>
      </c>
      <c r="H157" s="161">
        <v>0</v>
      </c>
      <c r="I157" s="161">
        <v>0</v>
      </c>
      <c r="J157" s="161">
        <v>0</v>
      </c>
      <c r="K157" s="161">
        <v>0</v>
      </c>
    </row>
    <row r="158" spans="2:11" ht="12.75" hidden="1">
      <c r="B158" s="162" t="s">
        <v>258</v>
      </c>
      <c r="C158" s="161">
        <v>0</v>
      </c>
      <c r="D158" s="161">
        <v>0</v>
      </c>
      <c r="E158" s="161">
        <v>0</v>
      </c>
      <c r="F158" s="161">
        <v>0</v>
      </c>
      <c r="G158" s="161">
        <v>0</v>
      </c>
      <c r="H158" s="161">
        <v>0</v>
      </c>
      <c r="I158" s="161">
        <v>0</v>
      </c>
      <c r="J158" s="161">
        <v>0</v>
      </c>
      <c r="K158" s="161">
        <v>0</v>
      </c>
    </row>
    <row r="159" spans="2:11" ht="12.75" hidden="1">
      <c r="B159" s="162" t="s">
        <v>245</v>
      </c>
      <c r="C159" s="161">
        <v>0</v>
      </c>
      <c r="D159" s="161">
        <v>0</v>
      </c>
      <c r="E159" s="161">
        <v>0</v>
      </c>
      <c r="F159" s="161">
        <v>0</v>
      </c>
      <c r="G159" s="161">
        <v>0</v>
      </c>
      <c r="H159" s="161">
        <v>0</v>
      </c>
      <c r="I159" s="161">
        <v>0</v>
      </c>
      <c r="J159" s="161">
        <v>0</v>
      </c>
      <c r="K159" s="161">
        <v>0</v>
      </c>
    </row>
    <row r="160" spans="2:11" ht="12.75" hidden="1">
      <c r="B160" s="162" t="s">
        <v>246</v>
      </c>
      <c r="C160" s="161">
        <v>0</v>
      </c>
      <c r="D160" s="161">
        <v>0</v>
      </c>
      <c r="E160" s="161">
        <v>0</v>
      </c>
      <c r="F160" s="161">
        <v>0</v>
      </c>
      <c r="G160" s="161">
        <v>0</v>
      </c>
      <c r="H160" s="161">
        <v>0</v>
      </c>
      <c r="I160" s="161">
        <v>0</v>
      </c>
      <c r="J160" s="161">
        <v>0</v>
      </c>
      <c r="K160" s="161">
        <v>0</v>
      </c>
    </row>
    <row r="161" spans="2:11" ht="12.75" hidden="1">
      <c r="B161" s="166" t="s">
        <v>247</v>
      </c>
      <c r="C161" s="161">
        <v>0</v>
      </c>
      <c r="D161" s="161">
        <v>0</v>
      </c>
      <c r="E161" s="161">
        <v>0</v>
      </c>
      <c r="F161" s="161">
        <v>0</v>
      </c>
      <c r="G161" s="161">
        <v>0</v>
      </c>
      <c r="H161" s="161">
        <v>0</v>
      </c>
      <c r="I161" s="161">
        <v>0</v>
      </c>
      <c r="J161" s="161">
        <v>0</v>
      </c>
      <c r="K161" s="161">
        <v>0</v>
      </c>
    </row>
    <row r="162" spans="2:11" ht="13.5" hidden="1" thickBot="1">
      <c r="B162" s="163" t="s">
        <v>349</v>
      </c>
      <c r="C162" s="164">
        <f aca="true" t="shared" si="13" ref="C162:K162">SUM(C153:C161)</f>
        <v>0</v>
      </c>
      <c r="D162" s="164">
        <f t="shared" si="13"/>
        <v>0</v>
      </c>
      <c r="E162" s="164">
        <f t="shared" si="13"/>
        <v>0</v>
      </c>
      <c r="F162" s="164">
        <f t="shared" si="13"/>
        <v>0</v>
      </c>
      <c r="G162" s="164">
        <f t="shared" si="13"/>
        <v>0</v>
      </c>
      <c r="H162" s="164">
        <f t="shared" si="13"/>
        <v>0</v>
      </c>
      <c r="I162" s="164">
        <f t="shared" si="13"/>
        <v>0</v>
      </c>
      <c r="J162" s="164">
        <f t="shared" si="13"/>
        <v>0</v>
      </c>
      <c r="K162" s="164">
        <f t="shared" si="13"/>
        <v>0</v>
      </c>
    </row>
    <row r="163" spans="2:9" ht="15.75" hidden="1">
      <c r="B163" s="34"/>
      <c r="C163" s="34"/>
      <c r="D163" s="34"/>
      <c r="E163" s="34"/>
      <c r="F163" s="34"/>
      <c r="G163" s="34"/>
      <c r="H163" s="34"/>
      <c r="I163" s="34"/>
    </row>
    <row r="164" spans="2:9" ht="16.5" hidden="1" thickBot="1">
      <c r="B164" s="34"/>
      <c r="C164" s="34"/>
      <c r="D164" s="34"/>
      <c r="E164" s="34"/>
      <c r="F164" s="34"/>
      <c r="G164" s="34"/>
      <c r="H164" s="34"/>
      <c r="I164" s="34"/>
    </row>
    <row r="165" spans="2:9" ht="42.75" customHeight="1" hidden="1">
      <c r="B165" s="179" t="s">
        <v>356</v>
      </c>
      <c r="C165" s="180" t="s">
        <v>317</v>
      </c>
      <c r="D165" s="34"/>
      <c r="E165" s="179" t="s">
        <v>357</v>
      </c>
      <c r="F165" s="180" t="s">
        <v>317</v>
      </c>
      <c r="G165" s="34"/>
      <c r="H165" s="34"/>
      <c r="I165" s="34"/>
    </row>
    <row r="166" spans="2:9" ht="15.75" hidden="1">
      <c r="B166" s="181" t="s">
        <v>318</v>
      </c>
      <c r="C166" s="161">
        <v>0</v>
      </c>
      <c r="D166" s="44"/>
      <c r="E166" s="185" t="s">
        <v>331</v>
      </c>
      <c r="F166" s="161">
        <v>0</v>
      </c>
      <c r="G166" s="44"/>
      <c r="H166" s="44"/>
      <c r="I166" s="44"/>
    </row>
    <row r="167" spans="2:6" ht="12.75" hidden="1">
      <c r="B167" s="182" t="s">
        <v>319</v>
      </c>
      <c r="C167" s="161">
        <v>0</v>
      </c>
      <c r="E167" s="186" t="s">
        <v>283</v>
      </c>
      <c r="F167" s="161">
        <v>0</v>
      </c>
    </row>
    <row r="168" spans="2:6" ht="12.75" hidden="1">
      <c r="B168" s="182" t="s">
        <v>320</v>
      </c>
      <c r="C168" s="161">
        <v>0</v>
      </c>
      <c r="E168" s="186" t="s">
        <v>285</v>
      </c>
      <c r="F168" s="161">
        <v>0</v>
      </c>
    </row>
    <row r="169" spans="2:6" ht="12.75" hidden="1">
      <c r="B169" s="182" t="s">
        <v>321</v>
      </c>
      <c r="C169" s="161">
        <v>0</v>
      </c>
      <c r="E169" s="186" t="s">
        <v>288</v>
      </c>
      <c r="F169" s="161">
        <v>0</v>
      </c>
    </row>
    <row r="170" spans="2:6" ht="12.75" hidden="1">
      <c r="B170" s="182" t="s">
        <v>322</v>
      </c>
      <c r="C170" s="161">
        <v>0</v>
      </c>
      <c r="E170" s="182" t="s">
        <v>290</v>
      </c>
      <c r="F170" s="161">
        <v>0</v>
      </c>
    </row>
    <row r="171" spans="2:6" ht="12.75" hidden="1">
      <c r="B171" s="182" t="s">
        <v>323</v>
      </c>
      <c r="C171" s="161">
        <v>0</v>
      </c>
      <c r="E171" s="187" t="s">
        <v>293</v>
      </c>
      <c r="F171" s="161">
        <v>0</v>
      </c>
    </row>
    <row r="172" spans="2:6" ht="12.75" hidden="1">
      <c r="B172" s="182" t="s">
        <v>324</v>
      </c>
      <c r="C172" s="161">
        <v>0</v>
      </c>
      <c r="E172" s="186" t="s">
        <v>283</v>
      </c>
      <c r="F172" s="161">
        <v>0</v>
      </c>
    </row>
    <row r="173" spans="2:6" ht="12.75" hidden="1">
      <c r="B173" s="181" t="s">
        <v>325</v>
      </c>
      <c r="C173" s="161">
        <v>0</v>
      </c>
      <c r="E173" s="186" t="s">
        <v>285</v>
      </c>
      <c r="F173" s="161">
        <v>0</v>
      </c>
    </row>
    <row r="174" spans="2:9" ht="15.75" hidden="1">
      <c r="B174" s="182" t="s">
        <v>319</v>
      </c>
      <c r="C174" s="161">
        <v>0</v>
      </c>
      <c r="D174" s="106"/>
      <c r="E174" s="186" t="s">
        <v>288</v>
      </c>
      <c r="F174" s="161">
        <v>0</v>
      </c>
      <c r="G174" s="106"/>
      <c r="H174" s="106"/>
      <c r="I174" s="106"/>
    </row>
    <row r="175" spans="2:6" ht="12.75" hidden="1">
      <c r="B175" s="182" t="s">
        <v>320</v>
      </c>
      <c r="C175" s="161">
        <v>0</v>
      </c>
      <c r="E175" s="182" t="s">
        <v>290</v>
      </c>
      <c r="F175" s="161">
        <v>0</v>
      </c>
    </row>
    <row r="176" spans="2:6" ht="12.75" hidden="1">
      <c r="B176" s="182" t="s">
        <v>321</v>
      </c>
      <c r="C176" s="161">
        <v>0</v>
      </c>
      <c r="E176" s="188" t="s">
        <v>332</v>
      </c>
      <c r="F176" s="161">
        <v>0</v>
      </c>
    </row>
    <row r="177" spans="2:6" ht="12.75" hidden="1">
      <c r="B177" s="182" t="s">
        <v>322</v>
      </c>
      <c r="C177" s="161">
        <v>0</v>
      </c>
      <c r="E177" s="188" t="s">
        <v>304</v>
      </c>
      <c r="F177" s="161">
        <v>0</v>
      </c>
    </row>
    <row r="178" spans="2:9" ht="16.5" hidden="1" thickBot="1">
      <c r="B178" s="182" t="s">
        <v>326</v>
      </c>
      <c r="C178" s="161">
        <v>0</v>
      </c>
      <c r="D178" s="45"/>
      <c r="E178" s="189" t="s">
        <v>308</v>
      </c>
      <c r="F178" s="161">
        <v>0</v>
      </c>
      <c r="G178" s="45"/>
      <c r="H178" s="45"/>
      <c r="I178" s="45"/>
    </row>
    <row r="179" spans="2:9" ht="15.75" hidden="1">
      <c r="B179" s="181" t="s">
        <v>327</v>
      </c>
      <c r="C179" s="161">
        <v>0</v>
      </c>
      <c r="D179" s="45"/>
      <c r="G179" s="45"/>
      <c r="H179" s="45"/>
      <c r="I179" s="45"/>
    </row>
    <row r="180" spans="2:9" ht="15.75" hidden="1">
      <c r="B180" s="183" t="s">
        <v>328</v>
      </c>
      <c r="C180" s="161">
        <v>0</v>
      </c>
      <c r="D180" s="45"/>
      <c r="G180" s="45"/>
      <c r="H180" s="45"/>
      <c r="I180" s="45"/>
    </row>
    <row r="181" spans="2:9" ht="15.75" hidden="1">
      <c r="B181" s="183" t="s">
        <v>329</v>
      </c>
      <c r="C181" s="161">
        <v>0</v>
      </c>
      <c r="D181" s="45"/>
      <c r="G181" s="45"/>
      <c r="H181" s="45"/>
      <c r="I181" s="45"/>
    </row>
    <row r="182" spans="2:9" ht="16.5" hidden="1" thickBot="1">
      <c r="B182" s="184" t="s">
        <v>330</v>
      </c>
      <c r="C182" s="161">
        <v>0</v>
      </c>
      <c r="D182" s="45"/>
      <c r="G182" s="45"/>
      <c r="H182" s="45"/>
      <c r="I182" s="45"/>
    </row>
    <row r="183" spans="4:9" ht="15.75" hidden="1">
      <c r="D183" s="45"/>
      <c r="E183" s="45"/>
      <c r="F183" s="45"/>
      <c r="G183" s="45"/>
      <c r="H183" s="45"/>
      <c r="I183" s="45"/>
    </row>
    <row r="184" spans="4:9" ht="15.75" hidden="1">
      <c r="D184" s="45"/>
      <c r="E184" s="45"/>
      <c r="F184" s="45"/>
      <c r="G184" s="45"/>
      <c r="H184" s="45"/>
      <c r="I184" s="45"/>
    </row>
    <row r="185" spans="4:9" ht="15.75" hidden="1">
      <c r="D185" s="45"/>
      <c r="E185" s="45"/>
      <c r="F185" s="45"/>
      <c r="G185" s="45"/>
      <c r="H185" s="45"/>
      <c r="I185" s="45"/>
    </row>
    <row r="186" spans="4:9" ht="15.75">
      <c r="D186" s="45"/>
      <c r="E186" s="45"/>
      <c r="F186" s="45"/>
      <c r="G186" s="45"/>
      <c r="H186" s="45"/>
      <c r="I186" s="45"/>
    </row>
    <row r="187" spans="4:9" ht="15.75">
      <c r="D187" s="45"/>
      <c r="E187" s="45"/>
      <c r="F187" s="45"/>
      <c r="G187" s="45"/>
      <c r="H187" s="45"/>
      <c r="I187" s="45"/>
    </row>
    <row r="188" spans="4:9" ht="15.75">
      <c r="D188" s="45"/>
      <c r="E188" s="45"/>
      <c r="F188" s="45"/>
      <c r="G188" s="45"/>
      <c r="H188" s="45"/>
      <c r="I188" s="45"/>
    </row>
    <row r="189" spans="4:9" ht="15.75">
      <c r="D189" s="45"/>
      <c r="E189" s="45"/>
      <c r="F189" s="45"/>
      <c r="G189" s="45"/>
      <c r="H189" s="45"/>
      <c r="I189" s="45"/>
    </row>
    <row r="190" spans="4:9" ht="15.75">
      <c r="D190" s="45"/>
      <c r="E190" s="45"/>
      <c r="F190" s="45"/>
      <c r="G190" s="45"/>
      <c r="H190" s="45"/>
      <c r="I190" s="45"/>
    </row>
    <row r="191" spans="4:9" ht="15.75">
      <c r="D191" s="45"/>
      <c r="E191" s="45"/>
      <c r="F191" s="45"/>
      <c r="G191" s="45"/>
      <c r="H191" s="45"/>
      <c r="I191" s="45"/>
    </row>
    <row r="192" spans="4:9" ht="15.75">
      <c r="D192" s="45"/>
      <c r="E192" s="45"/>
      <c r="F192" s="45"/>
      <c r="G192" s="45"/>
      <c r="H192" s="45"/>
      <c r="I192" s="45"/>
    </row>
    <row r="193" spans="4:9" ht="15.75">
      <c r="D193" s="45"/>
      <c r="E193" s="45"/>
      <c r="F193" s="45"/>
      <c r="G193" s="45"/>
      <c r="H193" s="45"/>
      <c r="I193" s="45"/>
    </row>
    <row r="194" spans="4:9" ht="15.75">
      <c r="D194" s="45"/>
      <c r="E194" s="45"/>
      <c r="F194" s="45"/>
      <c r="G194" s="45"/>
      <c r="H194" s="45"/>
      <c r="I194" s="45"/>
    </row>
    <row r="195" spans="4:9" ht="15.75">
      <c r="D195" s="45"/>
      <c r="E195" s="45"/>
      <c r="F195" s="45"/>
      <c r="G195" s="45"/>
      <c r="H195" s="45"/>
      <c r="I195" s="45"/>
    </row>
    <row r="196" spans="4:9" ht="15.75">
      <c r="D196" s="45"/>
      <c r="E196" s="45"/>
      <c r="F196" s="45"/>
      <c r="G196" s="45"/>
      <c r="H196" s="45"/>
      <c r="I196" s="45"/>
    </row>
    <row r="197" spans="4:9" ht="15.75">
      <c r="D197" s="45"/>
      <c r="E197" s="45"/>
      <c r="F197" s="45"/>
      <c r="G197" s="45"/>
      <c r="H197" s="45"/>
      <c r="I197" s="45"/>
    </row>
  </sheetData>
  <mergeCells count="52">
    <mergeCell ref="I150:I151"/>
    <mergeCell ref="J150:J151"/>
    <mergeCell ref="K150:K151"/>
    <mergeCell ref="D150:D151"/>
    <mergeCell ref="E150:E151"/>
    <mergeCell ref="F150:F151"/>
    <mergeCell ref="G150:G151"/>
    <mergeCell ref="K101:K102"/>
    <mergeCell ref="B136:B138"/>
    <mergeCell ref="C136:C137"/>
    <mergeCell ref="D136:D137"/>
    <mergeCell ref="E136:E137"/>
    <mergeCell ref="F136:F137"/>
    <mergeCell ref="G136:G137"/>
    <mergeCell ref="G101:G102"/>
    <mergeCell ref="H101:H102"/>
    <mergeCell ref="I101:I102"/>
    <mergeCell ref="J101:J102"/>
    <mergeCell ref="F101:F102"/>
    <mergeCell ref="D101:D102"/>
    <mergeCell ref="E101:E102"/>
    <mergeCell ref="B150:B152"/>
    <mergeCell ref="C150:C151"/>
    <mergeCell ref="B101:B103"/>
    <mergeCell ref="C101:C102"/>
    <mergeCell ref="E54:G54"/>
    <mergeCell ref="A80:C80"/>
    <mergeCell ref="E80:H80"/>
    <mergeCell ref="A73:B73"/>
    <mergeCell ref="A68:B68"/>
    <mergeCell ref="G87:G88"/>
    <mergeCell ref="H150:H151"/>
    <mergeCell ref="B87:B89"/>
    <mergeCell ref="C87:C88"/>
    <mergeCell ref="D87:D88"/>
    <mergeCell ref="E87:E88"/>
    <mergeCell ref="F87:F88"/>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3"/>
  <sheetViews>
    <sheetView zoomScale="75" zoomScaleNormal="75" workbookViewId="0" topLeftCell="A1"/>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tr">
        <f>"EJERCICIO    "&amp;Balance!I1</f>
        <v>EJERCICIO    1995</v>
      </c>
      <c r="C1" s="8"/>
    </row>
    <row r="2" spans="1:3" ht="12.95" customHeight="1" thickBot="1">
      <c r="A2" s="5"/>
      <c r="B2" s="6"/>
      <c r="C2" s="8"/>
    </row>
    <row r="3" spans="1:3" ht="33" customHeight="1">
      <c r="A3" s="75" t="str">
        <f>"                                       "&amp;"ENTIDADES AUTÓNOMAS COMERCIALES"</f>
        <v xml:space="preserve">                                       ENTIDADES AUTÓNOMAS COMERCIALES</v>
      </c>
      <c r="B3" s="10"/>
      <c r="C3" s="8"/>
    </row>
    <row r="4" spans="1:4" ht="20.1" customHeight="1">
      <c r="A4" s="14" t="str">
        <f>"AGREGADO"</f>
        <v>AGREGADO</v>
      </c>
      <c r="B4" s="79"/>
      <c r="C4" s="8"/>
      <c r="D4" s="94"/>
    </row>
    <row r="5" spans="1:3" ht="18" customHeight="1" thickBot="1">
      <c r="A5" s="18"/>
      <c r="B5" s="47"/>
      <c r="C5" s="8"/>
    </row>
    <row r="6" spans="1:4" ht="15" customHeight="1">
      <c r="A6" s="96"/>
      <c r="B6" s="97"/>
      <c r="C6" s="8"/>
      <c r="D6" s="97"/>
    </row>
    <row r="7" spans="1:4" ht="12.95" customHeight="1">
      <c r="A7" s="100"/>
      <c r="B7" s="100"/>
      <c r="C7" s="8"/>
      <c r="D7" s="100"/>
    </row>
    <row r="8" spans="1:4" ht="20.25">
      <c r="A8" s="102" t="s">
        <v>39</v>
      </c>
      <c r="B8" s="34"/>
      <c r="C8" s="8"/>
      <c r="D8" s="34"/>
    </row>
    <row r="9" ht="21" customHeight="1">
      <c r="C9" s="8"/>
    </row>
    <row r="10" ht="12.95" customHeight="1">
      <c r="C10" s="8"/>
    </row>
    <row r="11" ht="12.95" customHeight="1" thickBot="1">
      <c r="C11" s="8"/>
    </row>
    <row r="12" spans="1:3" ht="33" customHeight="1">
      <c r="A12" s="109" t="s">
        <v>43</v>
      </c>
      <c r="B12" s="109"/>
      <c r="C12" s="8"/>
    </row>
    <row r="13" ht="12.95" customHeight="1"/>
    <row r="14" ht="18" customHeight="1">
      <c r="A14" s="1" t="s">
        <v>0</v>
      </c>
    </row>
    <row r="15" ht="18" customHeight="1">
      <c r="A15" s="1" t="s">
        <v>1</v>
      </c>
    </row>
    <row r="16" ht="18" customHeight="1">
      <c r="A16" s="1"/>
    </row>
    <row r="17" ht="18" customHeight="1">
      <c r="A17" s="1"/>
    </row>
    <row r="18" ht="18" customHeight="1">
      <c r="A18" s="1"/>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printOptions horizontalCentered="1"/>
  <pageMargins left="0.31496062992125984" right="0.31496062992125984" top="0.5905511811023623" bottom="0.5905511811023623" header="0" footer="0"/>
  <pageSetup fitToHeight="2"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zoomScale="75" zoomScaleNormal="75" workbookViewId="0" topLeftCell="A1"/>
  </sheetViews>
  <sheetFormatPr defaultColWidth="11.421875" defaultRowHeight="12.75"/>
  <cols>
    <col min="1" max="1" width="68.00390625" style="2" customWidth="1"/>
    <col min="2" max="2" width="7.8515625" style="2" customWidth="1"/>
    <col min="3" max="3" width="66.28125" style="2" customWidth="1"/>
    <col min="4" max="4" width="9.7109375" style="2" customWidth="1"/>
    <col min="5" max="5" width="21.28125" style="2" customWidth="1"/>
    <col min="6" max="16384" width="11.421875" style="2" customWidth="1"/>
  </cols>
  <sheetData>
    <row r="1" spans="1:4" ht="60" customHeight="1">
      <c r="A1" s="5"/>
      <c r="B1" s="7"/>
      <c r="C1" s="7" t="str">
        <f>"EJERCICIO    "&amp;Balance!I1</f>
        <v>EJERCICIO    1995</v>
      </c>
      <c r="D1" s="8"/>
    </row>
    <row r="2" spans="1:4" ht="12.95" customHeight="1" thickBot="1">
      <c r="A2" s="5"/>
      <c r="B2" s="6"/>
      <c r="C2" s="6"/>
      <c r="D2" s="8"/>
    </row>
    <row r="3" spans="1:4" ht="33" customHeight="1">
      <c r="A3" s="75" t="str">
        <f>"                                       "&amp;"ENTIDADES AUTÓNOMAS COMERCIALES"</f>
        <v xml:space="preserve">                                       ENTIDADES AUTÓNOMAS COMERCIALES</v>
      </c>
      <c r="B3" s="10"/>
      <c r="C3" s="10"/>
      <c r="D3" s="8"/>
    </row>
    <row r="4" spans="1:5" ht="19.5" customHeight="1">
      <c r="A4" s="14" t="str">
        <f>"AGREGADO"</f>
        <v>AGREGADO</v>
      </c>
      <c r="B4" s="79"/>
      <c r="C4" s="79"/>
      <c r="D4" s="8"/>
      <c r="E4" s="94"/>
    </row>
    <row r="5" spans="1:4" ht="18" customHeight="1" thickBot="1">
      <c r="A5" s="18"/>
      <c r="B5" s="47"/>
      <c r="C5" s="76"/>
      <c r="D5" s="8"/>
    </row>
    <row r="6" spans="1:5" ht="15" customHeight="1">
      <c r="A6" s="96"/>
      <c r="B6" s="97"/>
      <c r="C6" s="97"/>
      <c r="D6" s="97"/>
      <c r="E6" s="97"/>
    </row>
    <row r="7" spans="1:5" ht="12.95" customHeight="1">
      <c r="A7" s="100"/>
      <c r="B7" s="100"/>
      <c r="C7" s="100"/>
      <c r="D7" s="101"/>
      <c r="E7" s="100"/>
    </row>
    <row r="8" spans="1:5" ht="20.25">
      <c r="A8" s="102" t="s">
        <v>432</v>
      </c>
      <c r="B8" s="34"/>
      <c r="C8" s="34"/>
      <c r="D8" s="34"/>
      <c r="E8" s="34"/>
    </row>
    <row r="9" ht="21" customHeight="1"/>
    <row r="10" ht="12.95" customHeight="1"/>
    <row r="11" ht="12.95" customHeight="1" thickBot="1"/>
    <row r="12" spans="1:3" ht="33" customHeight="1">
      <c r="A12" s="109" t="s">
        <v>433</v>
      </c>
      <c r="C12" s="109" t="s">
        <v>434</v>
      </c>
    </row>
    <row r="13" ht="12.95" customHeight="1"/>
    <row r="14" spans="1:3" ht="18" customHeight="1">
      <c r="A14" s="1" t="s">
        <v>435</v>
      </c>
      <c r="C14" s="1"/>
    </row>
    <row r="15" spans="1:3" ht="18" customHeight="1">
      <c r="A15" s="1"/>
      <c r="C15" s="1"/>
    </row>
    <row r="16" ht="18" customHeight="1">
      <c r="C16" s="1"/>
    </row>
    <row r="17" ht="18" customHeight="1">
      <c r="C17" s="1"/>
    </row>
    <row r="18" ht="18" customHeight="1">
      <c r="C18" s="1"/>
    </row>
    <row r="19" ht="18" customHeight="1">
      <c r="C19" s="1"/>
    </row>
    <row r="20" ht="18" customHeight="1">
      <c r="C20" s="1"/>
    </row>
    <row r="21"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5" ht="18" customHeight="1">
      <c r="A105" s="1"/>
    </row>
    <row r="106" spans="1:3" ht="18" customHeight="1">
      <c r="A106" s="1"/>
      <c r="C106" s="3"/>
    </row>
    <row r="107" spans="1:3" ht="18" customHeight="1">
      <c r="A107" s="1"/>
      <c r="C107" s="3"/>
    </row>
    <row r="108" ht="12.75">
      <c r="C108" s="3"/>
    </row>
    <row r="109" ht="12.75">
      <c r="C109" s="3"/>
    </row>
    <row r="111" ht="12.75">
      <c r="B111" s="3"/>
    </row>
    <row r="112" ht="12.75">
      <c r="B112" s="3"/>
    </row>
    <row r="113" ht="12.75">
      <c r="B113" s="3"/>
    </row>
    <row r="114" ht="12.75">
      <c r="B114" s="3"/>
    </row>
  </sheetData>
  <printOptions horizontalCentered="1"/>
  <pageMargins left="0.31496062992125984" right="0.31496062992125984" top="0.5905511811023623" bottom="0.5905511811023623" header="0" footer="0"/>
  <pageSetup fitToHeight="2"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jamartinez</cp:lastModifiedBy>
  <cp:lastPrinted>2018-06-18T09:31:21Z</cp:lastPrinted>
  <dcterms:created xsi:type="dcterms:W3CDTF">2010-12-21T11:30:58Z</dcterms:created>
  <dcterms:modified xsi:type="dcterms:W3CDTF">2018-06-18T09:31:31Z</dcterms:modified>
  <cp:category/>
  <cp:version/>
  <cp:contentType/>
  <cp:contentStatus/>
</cp:coreProperties>
</file>